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46e6d43e5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Model Guide" sheetId="1" r:id="Rcd3505f30fc5448b"/>
    <x:sheet xmlns:r="http://schemas.openxmlformats.org/officeDocument/2006/relationships" name="01 Source Register" sheetId="2" r:id="R1a128a6e853049ba"/>
    <x:sheet xmlns:r="http://schemas.openxmlformats.org/officeDocument/2006/relationships" name="02 Historical Financials" sheetId="3" r:id="R413dfeb4fc124572"/>
    <x:sheet xmlns:r="http://schemas.openxmlformats.org/officeDocument/2006/relationships" name="03 Market Scenarios" sheetId="4" r:id="R2eaa5941c0e04349"/>
    <x:sheet xmlns:r="http://schemas.openxmlformats.org/officeDocument/2006/relationships" name="04 Operating Sensitivity" sheetId="5" r:id="Rd1b3f7451e674483"/>
    <x:sheet xmlns:r="http://schemas.openxmlformats.org/officeDocument/2006/relationships" name="05 Capital Expenditure" sheetId="6" r:id="Ra796beb6b0a840fc"/>
    <x:sheet xmlns:r="http://schemas.openxmlformats.org/officeDocument/2006/relationships" name="06 Escondida Economics" sheetId="7" r:id="R649e0bcababe4dcc"/>
    <x:sheet xmlns:r="http://schemas.openxmlformats.org/officeDocument/2006/relationships" name="07 Funding Capacity" sheetId="8" r:id="R49b96198203243db"/>
    <x:sheet xmlns:r="http://schemas.openxmlformats.org/officeDocument/2006/relationships" name="08 Scenarios and Decisions" sheetId="9" r:id="R3b3b23a6612446f8"/>
    <x:sheet xmlns:r="http://schemas.openxmlformats.org/officeDocument/2006/relationships" name="09 Decision Dashboard" sheetId="10" r:id="R42f5c186f95a4289"/>
    <x:sheet xmlns:r="http://schemas.openxmlformats.org/officeDocument/2006/relationships" name="10 Model Validation" sheetId="11" r:id="R4971527fef7944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;(#,##0.0);&quot;-&quot;"/>
    <x:numFmt numFmtId="201" formatCode="0.0%"/>
    <x:numFmt numFmtId="202" formatCode="0"/>
    <x:numFmt numFmtId="203" formatCode="0.00"/>
    <x:numFmt numFmtId="204" formatCode="0.00&quot;x&quot;"/>
    <x:numFmt numFmtId="205" formatCode="#,##0"/>
  </x:numFmts>
  <x:fonts count="5">
    <x:font>
      <x:sz val="11"/>
      <x:name val="Carlito"/>
    </x:font>
    <x:font>
      <x:sz val="10"/>
      <x:color rgb="FF252421"/>
      <x:name val="Arial"/>
    </x:font>
    <x:font>
      <x:b/>
      <x:sz val="15"/>
      <x:color rgb="FF252421"/>
      <x:name val="Arial"/>
    </x:font>
    <x:font>
      <x:sz val="10"/>
      <x:color rgb="FF17509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D6"/>
      </x:patternFill>
    </x:fill>
    <x:fill>
      <x:patternFill patternType="solid">
        <x:fgColor rgb="FF26252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5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46c812ca84061" /><Relationship Type="http://schemas.openxmlformats.org/officeDocument/2006/relationships/theme" Target="/xl/theme/theme1.xml" Id="R5c9b22de368748f6" /><Relationship Type="http://schemas.openxmlformats.org/officeDocument/2006/relationships/sharedStrings" Target="/xl/sharedStrings.xml" Id="Ra2ab86ba2f0f4b24" /><Relationship Type="http://schemas.openxmlformats.org/officeDocument/2006/relationships/worksheet" Target="/xl/worksheets/sheet1.xml" Id="Rcd3505f30fc5448b" /><Relationship Type="http://schemas.openxmlformats.org/officeDocument/2006/relationships/worksheet" Target="/xl/worksheets/sheet2.xml" Id="R1a128a6e853049ba" /><Relationship Type="http://schemas.openxmlformats.org/officeDocument/2006/relationships/worksheet" Target="/xl/worksheets/sheet3.xml" Id="R413dfeb4fc124572" /><Relationship Type="http://schemas.openxmlformats.org/officeDocument/2006/relationships/worksheet" Target="/xl/worksheets/sheet4.xml" Id="R2eaa5941c0e04349" /><Relationship Type="http://schemas.openxmlformats.org/officeDocument/2006/relationships/worksheet" Target="/xl/worksheets/sheet5.xml" Id="Rd1b3f7451e674483" /><Relationship Type="http://schemas.openxmlformats.org/officeDocument/2006/relationships/worksheet" Target="/xl/worksheets/sheet6.xml" Id="Ra796beb6b0a840fc" /><Relationship Type="http://schemas.openxmlformats.org/officeDocument/2006/relationships/worksheet" Target="/xl/worksheets/sheet7.xml" Id="R649e0bcababe4dcc" /><Relationship Type="http://schemas.openxmlformats.org/officeDocument/2006/relationships/worksheet" Target="/xl/worksheets/sheet8.xml" Id="R49b96198203243db" /><Relationship Type="http://schemas.openxmlformats.org/officeDocument/2006/relationships/worksheet" Target="/xl/worksheets/sheet9.xml" Id="R3b3b23a6612446f8" /><Relationship Type="http://schemas.openxmlformats.org/officeDocument/2006/relationships/worksheet" Target="/xl/worksheets/sheet10.xml" Id="R42f5c186f95a4289" /><Relationship Type="http://schemas.openxmlformats.org/officeDocument/2006/relationships/worksheet" Target="/xl/worksheets/sheet11.xml" Id="R4971527fef7944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115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Model Guide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C5" s="2" t="str">
        <x:v>Case selector (1-6)</x:v>
      </x:c>
      <x:c r="D5" s="17" t="n">
        <x:v>1</x:v>
      </x:c>
      <x:c r="E5" s="4"/>
      <x:c r="F5" s="4"/>
      <x:c r="G5" s="4"/>
      <x:c r="H5" s="4"/>
      <x:c r="I5" s="4"/>
      <x:c r="J5" s="4"/>
      <x:c r="K5" s="2"/>
      <x:c r="L5" s="2"/>
      <x:c r="M5" s="2"/>
      <x:c r="N5" s="2"/>
    </x:row>
    <x:row r="6" ht="22" customHeight="1">
      <x:c r="C6" s="2"/>
      <x:c r="D6" s="4" t="str">
        <x:f>CHOOSE(D5,"Base","Upside","Downside","Delay","Overrun","Combined stress")</x:f>
        <x:v>Base</x:v>
      </x:c>
      <x:c r="E6" s="4"/>
      <x:c r="F6" s="4"/>
      <x:c r="G6" s="4"/>
      <x:c r="H6" s="4"/>
      <x:c r="I6" s="4"/>
      <x:c r="J6" s="4"/>
      <x:c r="K6" s="2"/>
      <x:c r="L6" s="2"/>
      <x:c r="M6" s="2"/>
      <x:c r="N6" s="2"/>
    </x:row>
    <x:row r="7" ht="22" customHeight="1">
      <x:c r="C7" s="2"/>
      <x:c r="D7" s="4"/>
      <x:c r="E7" s="4"/>
      <x:c r="F7" s="4"/>
      <x:c r="G7" s="4"/>
      <x:c r="H7" s="4"/>
      <x:c r="I7" s="4"/>
      <x:c r="J7" s="4"/>
      <x:c r="K7" s="2"/>
      <x:c r="L7" s="2"/>
      <x:c r="M7" s="2"/>
      <x:c r="N7" s="2"/>
    </x:row>
    <x:row r="8" ht="22" customHeight="1">
      <x:c r="C8" s="2"/>
      <x:c r="D8" s="4"/>
      <x:c r="E8" s="4"/>
      <x:c r="F8" s="4"/>
      <x:c r="G8" s="4"/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Cutoff: 5 November 2026. Independent SMPT research. No GS or BHP affiliation.</x:v>
      </x:c>
      <x:c r="D9" s="4"/>
      <x:c r="E9" s="4"/>
      <x:c r="F9" s="4"/>
      <x:c r="G9" s="4"/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Decision: maintain funded pre-FID readiness; construction acceleration is not established.</x:v>
      </x:c>
      <x:c r="D10" s="4"/>
      <x:c r="E10" s="4"/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Use 09 Decision Dashboard first, then inspect inputs and calculation schedules.</x:v>
      </x:c>
      <x:c r="D11" s="4"/>
      <x:c r="E11" s="4"/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 t="str">
        <x:v>Change D5 above to select a case. Blue numbers in pale gold cells are editable.</x:v>
      </x:c>
      <x:c r="D12" s="4"/>
      <x:c r="E12" s="4"/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 t="str">
        <x:v>Case key: 1 Base; 2 Upside; 3 Downside; 4 Delay; 5 Overrun; 6 Combined stress.</x:v>
      </x:c>
      <x:c r="D13" s="4"/>
      <x:c r="E13" s="4"/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2" customHeight="1">
      <x:c r="C14" s="2" t="str">
        <x:v>Change case drivers in 03 E6:J10. Active drivers in D6:D10 feed the same build.</x:v>
      </x:c>
      <x:c r="D14" s="4"/>
      <x:c r="E14" s="4"/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Prices: US$/t; cash: US$m; volumes: kt; ratios displayed as percentages.</x:v>
      </x:c>
      <x:c r="D15" s="4"/>
      <x:c r="E15" s="4"/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Near-term price is separate from long-term project price. Fiscal volume is a scale only.</x:v>
      </x:c>
      <x:c r="D16" s="4"/>
      <x:c r="E16" s="4"/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Project output is facility total. Required benefit is preserved/incremental versus no build.</x:v>
      </x:c>
      <x:c r="D17" s="4"/>
      <x:c r="E17" s="4"/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Project screen is assumption-dependent. 199 / 416 ktpa are not measured mine benefits.</x:v>
      </x:c>
      <x:c r="D18" s="4"/>
      <x:c r="E18" s="4"/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Inputs: reported facts; issuer guidance; secondary forecast reporting; SMPT assumptions.</x:v>
      </x:c>
      <x:c r="D19" s="4"/>
      <x:c r="E19" s="4"/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04 rows38-55: disclosed FY26 STATIC sensitivity. Earlier proxies are secondary diagnostics.</x:v>
      </x:c>
      <x:c r="D20" s="4"/>
      <x:c r="E20" s="4"/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07 is a funding evidence map. No modeled forward group FCF or net debt is presented.</x:v>
      </x:c>
      <x:c r="D21" s="4"/>
      <x:c r="E21" s="4"/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Do not add capex again to reported FCF or to BHP guidance already net of investment.</x:v>
      </x:c>
      <x:c r="D22" s="4"/>
      <x:c r="E22" s="4"/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Full project tax, cost, mine counterfactual and ramp-up schedules remain unavailable.</x:v>
      </x:c>
      <x:c r="D23" s="4"/>
      <x:c r="E23" s="4"/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 t="str">
        <x:v>No terminal value. 20-year benefit life is assumed, not a disclosed production profile.</x:v>
      </x:c>
      <x:c r="D24" s="4"/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 t="str">
        <x:v>Scenario comparison thresholds use the same transparent annuity equations.</x:v>
      </x:c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 t="str">
        <x:v>READY FOR EDITORIAL REVIEW as conditional research; no publication authorization.</x:v>
      </x:c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/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dataValidations count="1">
    <x:dataValidation type="whole" operator="between" sqref="D5">
      <x:formula1>1</x:formula1>
      <x:formula2>6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35" hidden="0" customWidth="1"/>
    <x:col min="4" max="4" width="3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Source Register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source_id</x:v>
      </x:c>
      <x:c r="D5" s="10" t="str">
        <x:v>issuer</x:v>
      </x:c>
      <x:c r="E5" s="10" t="str">
        <x:v>document_title</x:v>
      </x:c>
      <x:c r="F5" s="10" t="str">
        <x:v>document_date</x:v>
      </x:c>
      <x:c r="G5" s="10" t="str">
        <x:v>url</x:v>
      </x:c>
      <x:c r="H5" s="10" t="str">
        <x:v>reporting_period</x:v>
      </x:c>
      <x:c r="I5" s="10" t="str">
        <x:v>locator</x:v>
      </x:c>
      <x:c r="J5" s="10" t="str">
        <x:v>claim_supported</x:v>
      </x:c>
      <x:c r="K5" s="9" t="str">
        <x:v>classification</x:v>
      </x:c>
      <x:c r="L5" s="9" t="str">
        <x:v>verification_status</x:v>
      </x:c>
      <x:c r="M5" s="9" t="str">
        <x:v>uncertainty</x:v>
      </x:c>
      <x:c r="N5" s="9" t="str">
        <x:v>redistribution</x:v>
      </x:c>
    </x:row>
    <x:row r="6" ht="92" customHeight="1">
      <x:c r="C6" s="2" t="str">
        <x:v>S01</x:v>
      </x:c>
      <x:c r="D6" s="4" t="str">
        <x:v>BHP</x:v>
      </x:c>
      <x:c r="E6" s="11" t="str">
        <x:v>FY2026 results presentation</x:v>
      </x:c>
      <x:c r="F6" s="11" t="str">
        <x:v>2026-08-18</x:v>
      </x:c>
      <x:c r="G6" s="11" t="str">
        <x:v>https://www.bhp.com/-/media/documents/media/reports-and-presentations/2026/260818_bhpresultsfortheyearended30june2026_presentation.pdf</x:v>
      </x:c>
      <x:c r="H6" s="11" t="str">
        <x:v>FY2026; FY2027-35 guidance</x:v>
      </x:c>
      <x:c r="I6" s="11" t="str">
        <x:v>Slides 19-22, 28, 35-36, 40, 48, 50</x:v>
      </x:c>
      <x:c r="J6" s="11" t="str">
        <x:v>Capital, project ranges, IRR methodology, cash-flow scope</x:v>
      </x:c>
      <x:c r="K6" s="12" t="str">
        <x:v>Management guidance</x:v>
      </x:c>
      <x:c r="L6" s="12" t="str">
        <x:v>Verified primary</x:v>
      </x:c>
      <x:c r="M6" s="12" t="str">
        <x:v>Forward-looking; UBS assumptions reproduced by BHP, not independently surveyed</x:v>
      </x:c>
      <x:c r="N6" s="12" t="str">
        <x:v>Link and paraphrase; no third-party graphics</x:v>
      </x:c>
    </x:row>
    <x:row r="7" ht="92" customHeight="1">
      <x:c r="C7" s="2" t="str">
        <x:v>S02</x:v>
      </x:c>
      <x:c r="D7" s="4" t="str">
        <x:v>BHP</x:v>
      </x:c>
      <x:c r="E7" s="11" t="str">
        <x:v>FY2026 results exchange release</x:v>
      </x:c>
      <x:c r="F7" s="11" t="str">
        <x:v>2026-08-18</x:v>
      </x:c>
      <x:c r="G7" s="11" t="str">
        <x:v>https://www.bhp.com/-/media/documents/media/reports-and-presentations/2026/260818_bhpresultsfortheyearended30june2026_exchangerelease.pdf</x:v>
      </x:c>
      <x:c r="H7" s="11" t="str">
        <x:v>FY2026; FY2025 comparative</x:v>
      </x:c>
      <x:c r="I7" s="11" t="str">
        <x:v>PDF pp. 4-5, 7, 19, 21-24</x:v>
      </x:c>
      <x:c r="J7" s="11" t="str">
        <x:v>Results, distributions, Jansen, asset metrics</x:v>
      </x:c>
      <x:c r="K7" s="12" t="str">
        <x:v>Reported / management guidance</x:v>
      </x:c>
      <x:c r="L7" s="12" t="str">
        <x:v>Verified primary</x:v>
      </x:c>
      <x:c r="M7" s="12" t="str">
        <x:v>Asset and statutory segment tables have different equity-accounting boundaries</x:v>
      </x:c>
      <x:c r="N7" s="12" t="str">
        <x:v>Link; reproduce selected facts only</x:v>
      </x:c>
    </x:row>
    <x:row r="8" ht="92" customHeight="1">
      <x:c r="C8" s="2" t="str">
        <x:v>S03</x:v>
      </x:c>
      <x:c r="D8" s="4" t="str">
        <x:v>BHP</x:v>
      </x:c>
      <x:c r="E8" s="11" t="str">
        <x:v>Annual Report 2026</x:v>
      </x:c>
      <x:c r="F8" s="11" t="str">
        <x:v>2026-08-18</x:v>
      </x:c>
      <x:c r="G8" s="11" t="str">
        <x:v>https://www.bhp.com/-/media/documents/investors/annual-reports/2026/260818_bhpannualreport2026.pdf</x:v>
      </x:c>
      <x:c r="H8" s="11" t="str">
        <x:v>Years ended 30 June 2026 / 2025</x:v>
      </x:c>
      <x:c r="I8" s="11" t="str">
        <x:v>PDF pp. 22, 30, 36-37, 132, 136, 153, 163-165</x:v>
      </x:c>
      <x:c r="J8" s="11" t="str">
        <x:v>Historical financials; FCF; liquidity; consolidation; commitments</x:v>
      </x:c>
      <x:c r="K8" s="12" t="str">
        <x:v>Reported financials</x:v>
      </x:c>
      <x:c r="L8" s="12" t="str">
        <x:v>Verified primary, selected sections</x:v>
      </x:c>
      <x:c r="M8" s="12" t="str">
        <x:v>Audited statements govern accounting; EBITDA/FCF are non-IFRS; not a full audit by SMPT</x:v>
      </x:c>
      <x:c r="N8" s="12" t="str">
        <x:v>Link; selected data, no full-report redistribution</x:v>
      </x:c>
    </x:row>
    <x:row r="9" ht="92" customHeight="1">
      <x:c r="C9" s="2" t="str">
        <x:v>S04</x:v>
      </x:c>
      <x:c r="D9" s="4" t="str">
        <x:v>SEC / BHP</x:v>
      </x:c>
      <x:c r="E9" s="11" t="str">
        <x:v>FY2026 Form 20-F filing index</x:v>
      </x:c>
      <x:c r="F9" s="11" t="str">
        <x:v>2026-08-18</x:v>
      </x:c>
      <x:c r="G9" s="11" t="str">
        <x:v>https://www.sec.gov/Archives/edgar/data/811809/000119312526354647/0001193125-26-354647-index.htm</x:v>
      </x:c>
      <x:c r="H9" s="11" t="str">
        <x:v>FY ended 2026-06-30</x:v>
      </x:c>
      <x:c r="I9" s="11" t="str">
        <x:v>Index filing/period dates; main document bhp-20260630.htm</x:v>
      </x:c>
      <x:c r="J9" s="11" t="str">
        <x:v>Filing identity and date</x:v>
      </x:c>
      <x:c r="K9" s="12" t="str">
        <x:v>Filing metadata</x:v>
      </x:c>
      <x:c r="L9" s="12" t="str">
        <x:v>Index verified; main HTML inaccessible</x:v>
      </x:c>
      <x:c r="M9" s="12" t="str">
        <x:v>Main HTML exceeded retrieval size limit; no claim of full 20-F inspection</x:v>
      </x:c>
      <x:c r="N9" s="12" t="str">
        <x:v>Link only</x:v>
      </x:c>
    </x:row>
    <x:row r="10" ht="92" customHeight="1">
      <x:c r="C10" s="2" t="str">
        <x:v>S05</x:v>
      </x:c>
      <x:c r="D10" s="4" t="str">
        <x:v>BHP</x:v>
      </x:c>
      <x:c r="E10" s="11" t="str">
        <x:v>September 2026 quarterly operational review</x:v>
      </x:c>
      <x:c r="F10" s="11" t="str">
        <x:v>2026-10-20</x:v>
      </x:c>
      <x:c r="G10" s="11" t="str">
        <x:v>https://www.bhp.com/-/media/documents/media/reports-and-presentations/2026/261020_bhpoperationalreviewforthequarterended30september2026-pdf.pdf</x:v>
      </x:c>
      <x:c r="H10" s="11" t="str">
        <x:v>Q1 FY2027</x:v>
      </x:c>
      <x:c r="I10" s="11" t="str">
        <x:v>PDF pp. 1-2, 5</x:v>
      </x:c>
      <x:c r="J10" s="11" t="str">
        <x:v>400.7 kt; $7.01/lb; asset guidance; $0.8bn gross pre-commitment</x:v>
      </x:c>
      <x:c r="K10" s="12" t="str">
        <x:v>Reported unaudited / guidance</x:v>
      </x:c>
      <x:c r="L10" s="12" t="str">
        <x:v>Verified primary</x:v>
      </x:c>
      <x:c r="M10" s="12" t="str">
        <x:v>Provisional pricing and finalisation adjustments; guidance is fiscal, GS is calendar</x:v>
      </x:c>
      <x:c r="N10" s="12" t="str">
        <x:v>Selected facts; link to issuer</x:v>
      </x:c>
    </x:row>
    <x:row r="11" ht="92" customHeight="1">
      <x:c r="C11" s="2" t="str">
        <x:v>S06</x:v>
      </x:c>
      <x:c r="D11" s="4" t="str">
        <x:v>BHP</x:v>
      </x:c>
      <x:c r="E11" s="11" t="str">
        <x:v>Escondida asset page</x:v>
      </x:c>
      <x:c r="F11" s="11" t="str">
        <x:v>Undated; retrieved 2026-11-04</x:v>
      </x:c>
      <x:c r="G11" s="11" t="str">
        <x:v>https://www.bhp.com/what-we-do/global-locations/chile/escondida</x:v>
      </x:c>
      <x:c r="H11" s="11" t="str">
        <x:v>Current asset description</x:v>
      </x:c>
      <x:c r="I11" s="11" t="str">
        <x:v>Escondida at a glance</x:v>
      </x:c>
      <x:c r="J11" s="11" t="str">
        <x:v>BHP 57.5%; Rio Tinto 30%; JECO combined 12.5%</x:v>
      </x:c>
      <x:c r="K11" s="12" t="str">
        <x:v>Issuer description</x:v>
      </x:c>
      <x:c r="L11" s="12" t="str">
        <x:v>Verified primary</x:v>
      </x:c>
      <x:c r="M11" s="12" t="str">
        <x:v>Not a source for parent cash remittance entitlement</x:v>
      </x:c>
      <x:c r="N11" s="12" t="str">
        <x:v>Link and paraphrase</x:v>
      </x:c>
    </x:row>
    <x:row r="12" ht="92" customHeight="1">
      <x:c r="C12" s="2" t="str">
        <x:v>S07</x:v>
      </x:c>
      <x:c r="D12" s="4" t="str">
        <x:v>BHP</x:v>
      </x:c>
      <x:c r="E12" s="11" t="str">
        <x:v>Environmental permit submission announcement</x:v>
      </x:c>
      <x:c r="F12" s="11" t="str">
        <x:v>2026-03-17</x:v>
      </x:c>
      <x:c r="G12" s="11" t="str">
        <x:v>https://www.bhp.com/news/articles/03/escondida--bhp-submits-environmental-permit-to-build-a-new-concentrator-plant</x:v>
      </x:c>
      <x:c r="H12" s="11" t="str">
        <x:v>March project plan</x:v>
      </x:c>
      <x:c r="I12" s="11" t="str">
        <x:v>Project description</x:v>
      </x:c>
      <x:c r="J12" s="11" t="str">
        <x:v>March $4.4-5.9bn; 220-260ktpa; replacement of Los Colorados</x:v>
      </x:c>
      <x:c r="K12" s="12" t="str">
        <x:v>Management plan</x:v>
      </x:c>
      <x:c r="L12" s="12" t="str">
        <x:v>Verified primary</x:v>
      </x:c>
      <x:c r="M12" s="12" t="str">
        <x:v>Submission is not environmental approval or FID</x:v>
      </x:c>
      <x:c r="N12" s="12" t="str">
        <x:v>Link and paraphrase</x:v>
      </x:c>
    </x:row>
    <x:row r="13" ht="92" customHeight="1">
      <x:c r="C13" s="2" t="str">
        <x:v>S08</x:v>
      </x:c>
      <x:c r="D13" s="4" t="str">
        <x:v>World Investment Institute</x:v>
      </x:c>
      <x:c r="E13" s="11" t="str">
        <x:v>Copper: Goldman Sachs Raises Price Forecast on US-China Competition</x:v>
      </x:c>
      <x:c r="F13" s="11" t="str">
        <x:v>2026-10-25</x:v>
      </x:c>
      <x:c r="G13" s="11" t="str">
        <x:v>https://wiinstitute.org/copper-goldman-sachs-raises-price-forecast-on-us-china-competition/</x:v>
      </x:c>
      <x:c r="H13" s="11" t="str">
        <x:v>Attributed GS research dated 2026-10-19</x:v>
      </x:c>
      <x:c r="I13" s="11" t="str">
        <x:v>Forecast table; market mechanisms; risks</x:v>
      </x:c>
      <x:c r="J13" s="11" t="str">
        <x:v>2027 $15,400/t vs $13,800/t; end-2026 $14,700/t</x:v>
      </x:c>
      <x:c r="K13" s="12" t="str">
        <x:v>Secondary reporting of bank forecast</x:v>
      </x:c>
      <x:c r="L13" s="12" t="str">
        <x:v>Verified public secondary, original unavailable</x:v>
      </x:c>
      <x:c r="M13" s="12" t="str">
        <x:v>Original GS report not obtained; reported forwards are historical secondary data</x:v>
      </x:c>
      <x:c r="N13" s="12" t="str">
        <x:v>Independent paraphrase; no proprietary charts or full report</x:v>
      </x:c>
    </x:row>
    <x:row r="14" ht="92" customHeight="1">
      <x:c r="C14" s="2" t="str">
        <x:v>S09</x:v>
      </x:c>
      <x:c r="D14" s="4" t="str">
        <x:v>International Copper Association Australia</x:v>
      </x:c>
      <x:c r="E14" s="11" t="str">
        <x:v>Copper Weekly Brief - 22 October 2026</x:v>
      </x:c>
      <x:c r="F14" s="11" t="str">
        <x:v>2026-10-22</x:v>
      </x:c>
      <x:c r="G14" s="11" t="str">
        <x:v>https://copper.com.au/news/mining/copper-weekly-brief-22-october-2026/</x:v>
      </x:c>
      <x:c r="H14" s="11" t="str">
        <x:v>October 2026 market reporting</x:v>
      </x:c>
      <x:c r="I14" s="11" t="str">
        <x:v>Supply and demand outlook table</x:v>
      </x:c>
      <x:c r="J14" s="11" t="str">
        <x:v>Corroborates GS forecasts; reports global ICSG surplus vs ex-US deficit</x:v>
      </x:c>
      <x:c r="K14" s="12" t="str">
        <x:v>Secondary market commentary</x:v>
      </x:c>
      <x:c r="L14" s="12" t="str">
        <x:v>Verified public secondary</x:v>
      </x:c>
      <x:c r="M14" s="12" t="str">
        <x:v>Possible common source; corroboration does not constitute independent primary GS verification</x:v>
      </x:c>
      <x:c r="N14" s="12" t="str">
        <x:v>Paraphrase selected facts</x:v>
      </x:c>
    </x:row>
    <x:row r="15" ht="92" customHeight="1">
      <x:c r="C15" s="2" t="str">
        <x:v>S10</x:v>
      </x:c>
      <x:c r="D15" s="4" t="str">
        <x:v>Goldman Sachs</x:v>
      </x:c>
      <x:c r="E15" s="11" t="str">
        <x:v>Public Goldman Sachs Research hub</x:v>
      </x:c>
      <x:c r="F15" s="11" t="str">
        <x:v>Retrieved 2026-11-04</x:v>
      </x:c>
      <x:c r="G15" s="11" t="str">
        <x:v>https://www.goldmansachs.com/insights/goldman-sachs-research</x:v>
      </x:c>
      <x:c r="H15" s="11" t="str">
        <x:v>Public hub</x:v>
      </x:c>
      <x:c r="I15" s="11" t="str">
        <x:v>Research listing / targeted site search</x:v>
      </x:c>
      <x:c r="J15" s="11" t="str">
        <x:v>Attempt to locate authorized original October 19 copper note</x:v>
      </x:c>
      <x:c r="K15" s="12" t="str">
        <x:v>Research access check</x:v>
      </x:c>
      <x:c r="L15" s="12" t="str">
        <x:v>Hub inspected; specific original not located</x:v>
      </x:c>
      <x:c r="M15" s="12" t="str">
        <x:v>Do not characterize the hub as verifying $15,400</x:v>
      </x:c>
      <x:c r="N15" s="12" t="str">
        <x:v>Link only</x:v>
      </x:c>
    </x:row>
    <x:row r="16" ht="92" customHeight="1">
      <x:c r="C16" s="2" t="str">
        <x:v>S11</x:v>
      </x:c>
      <x:c r="D16" s="4" t="str">
        <x:v>FinancialJuice</x:v>
      </x:c>
      <x:c r="E16" s="11" t="str">
        <x:v>Goldman Sachs: Copper</x:v>
      </x:c>
      <x:c r="F16" s="11" t="str">
        <x:v>Retrieved 2026-11-04</x:v>
      </x:c>
      <x:c r="G16" s="11" t="str">
        <x:v>https://www.financialjuice.com/News/9812752/Goldman-Sachs-Copper.aspx</x:v>
      </x:c>
      <x:c r="H16" s="11" t="str">
        <x:v>Unconfirmed</x:v>
      </x:c>
      <x:c r="I16" s="11" t="str">
        <x:v>Accessible page shell</x:v>
      </x:c>
      <x:c r="J16" s="11" t="str">
        <x:v>Starting lead only</x:v>
      </x:c>
      <x:c r="K16" s="12" t="str">
        <x:v>Access check</x:v>
      </x:c>
      <x:c r="L16" s="12" t="str">
        <x:v>Original URL exposed shell; alternative S18 body verified 5Nov</x:v>
      </x:c>
      <x:c r="M16" s="12" t="str">
        <x:v>Original starting URL remains weak; use S18 for forecast support</x:v>
      </x:c>
      <x:c r="N16" s="12" t="str">
        <x:v>No content redistributed</x:v>
      </x:c>
    </x:row>
    <x:row r="17" ht="92" customHeight="1">
      <x:c r="C17" s="2" t="str">
        <x:v>S12</x:v>
      </x:c>
      <x:c r="D17" s="4" t="str">
        <x:v>World Bank</x:v>
      </x:c>
      <x:c r="E17" s="11" t="str">
        <x:v>Commodity Markets Outlook, October 2026</x:v>
      </x:c>
      <x:c r="F17" s="11" t="str">
        <x:v>2026-10-27</x:v>
      </x:c>
      <x:c r="G17" s="11" t="str">
        <x:v>https://thedocs.worldbank.org/en/doc/2ac43f46629cf90c2ea5b8929a343593-0050012026/original/CMO-October-2026.pdf</x:v>
      </x:c>
      <x:c r="H17" s="11" t="str">
        <x:v>CY2026-28 forecasts</x:v>
      </x:c>
      <x:c r="I17" s="11" t="str">
        <x:v>Table 1, PDF p.21 (printed p.13)</x:v>
      </x:c>
      <x:c r="J17" s="11" t="str">
        <x:v>Copper 2026 $13,200; 2027 $13,000; 2028 $12,500/t</x:v>
      </x:c>
      <x:c r="K17" s="12" t="str">
        <x:v>Independent institutional forecast</x:v>
      </x:c>
      <x:c r="L17" s="12" t="str">
        <x:v>Verified primary</x:v>
      </x:c>
      <x:c r="M17" s="12" t="str">
        <x:v>Different price definition and forecast assumptions; not market consensus or long-term price</x:v>
      </x:c>
      <x:c r="N17" s="12" t="str">
        <x:v>Attribute World Bank; original SMPT exhibits</x:v>
      </x:c>
    </x:row>
    <x:row r="18" ht="92" customHeight="1">
      <x:c r="C18" s="2" t="str">
        <x:v>S13</x:v>
      </x:c>
      <x:c r="D18" s="4" t="str">
        <x:v>ICSG</x:v>
      </x:c>
      <x:c r="E18" s="11" t="str">
        <x:v>April 2026 forecast download landing page</x:v>
      </x:c>
      <x:c r="F18" s="11" t="str">
        <x:v>2026-04-23; page updated 2026-10-23</x:v>
      </x:c>
      <x:c r="G18" s="11" t="str">
        <x:v>https://icsg.org/download/2026-04-23-press-release-icsg-copper-market-forecast-2026-2027/</x:v>
      </x:c>
      <x:c r="H18" s="11" t="str">
        <x:v>April publication</x:v>
      </x:c>
      <x:c r="I18" s="11" t="str">
        <x:v>Landing-page dates</x:v>
      </x:c>
      <x:c r="J18" s="11" t="str">
        <x:v>Temporal check on candidate ICSG source</x:v>
      </x:c>
      <x:c r="K18" s="12" t="str">
        <x:v>Source coverage</x:v>
      </x:c>
      <x:c r="L18" s="12" t="str">
        <x:v>Landing page verified, not used as October numerical evidence</x:v>
      </x:c>
      <x:c r="M18" s="12" t="str">
        <x:v>Update timestamp cannot establish October forecast contents</x:v>
      </x:c>
      <x:c r="N18" s="12" t="str">
        <x:v>Link only</x:v>
      </x:c>
    </x:row>
    <x:row r="19" ht="92" customHeight="1">
      <x:c r="C19" s="2" t="str">
        <x:v>S14</x:v>
      </x:c>
      <x:c r="D19" s="4" t="str">
        <x:v>SEA Chile</x:v>
      </x:c>
      <x:c r="E19" s="11" t="str">
        <x:v>Antofagasta project evaluation article</x:v>
      </x:c>
      <x:c r="F19" s="11" t="str">
        <x:v>Retrieved 2026-11-04</x:v>
      </x:c>
      <x:c r="G19" s="11" t="str">
        <x:v>https://www.sea.gob.cl/noticias/sea-antofagasta-director-regional-destaca-evaluacion-de-proyectos-por-mas-de-us28-mil</x:v>
      </x:c>
      <x:c r="H19" s="11" t="str">
        <x:v>October 2026 lead</x:v>
      </x:c>
      <x:c r="I19" s="11" t="str">
        <x:v>Search result / page returned navigation</x:v>
      </x:c>
      <x:c r="J19" s="11" t="str">
        <x:v>Environmental approval cross-check</x:v>
      </x:c>
      <x:c r="K19" s="12" t="str">
        <x:v>Access check</x:v>
      </x:c>
      <x:c r="L19" s="12" t="str">
        <x:v>Substantive article not retrieved</x:v>
      </x:c>
      <x:c r="M19" s="12" t="str">
        <x:v>No independent permit-status conclusion; use BHP submission/admission wording</x:v>
      </x:c>
      <x:c r="N19" s="12" t="str">
        <x:v>No copied material</x:v>
      </x:c>
    </x:row>
    <x:row r="20" ht="92" customHeight="1">
      <x:c r="C20" s="2" t="str">
        <x:v>S15</x:v>
      </x:c>
      <x:c r="D20" s="4" t="str">
        <x:v>GBM</x:v>
      </x:c>
      <x:c r="E20" s="11" t="str">
        <x:v>Public copper forecast coverage linked by WII</x:v>
      </x:c>
      <x:c r="F20" s="11" t="str">
        <x:v>Retrieved 2026-11-04</x:v>
      </x:c>
      <x:c r="G20" s="11" t="str">
        <x:v>https://gbm.com/media/noticia/goldman-sachs-revisa-al-alza-su-prevision-sobre-el-precio-del-cobre/</x:v>
      </x:c>
      <x:c r="H20" s="11" t="str">
        <x:v>Unconfirmed</x:v>
      </x:c>
      <x:c r="I20" s="11" t="str">
        <x:v>HTTP 403</x:v>
      </x:c>
      <x:c r="J20" s="11" t="str">
        <x:v>GS verification attempt</x:v>
      </x:c>
      <x:c r="K20" s="12" t="str">
        <x:v>Access check</x:v>
      </x:c>
      <x:c r="L20" s="12" t="str">
        <x:v>Inaccessible</x:v>
      </x:c>
      <x:c r="M20" s="12" t="str">
        <x:v>Excluded from numerical support</x:v>
      </x:c>
      <x:c r="N20" s="12" t="str">
        <x:v>No copied material</x:v>
      </x:c>
    </x:row>
    <x:row r="21" ht="92" customHeight="1">
      <x:c r="C21" s="2" t="str">
        <x:v>S16</x:v>
      </x:c>
      <x:c r="D21" s="4" t="str">
        <x:v>Goldman Sachs</x:v>
      </x:c>
      <x:c r="E21" s="11" t="str">
        <x:v>Exchanges: Why Oil Prices Are Surging Despite Recovering Supply</x:v>
      </x:c>
      <x:c r="F21" s="11" t="str">
        <x:v>2026-10-23</x:v>
      </x:c>
      <x:c r="G21" s="11" t="str">
        <x:v>https://www.goldmansachs.com/insights/goldman-sachs-exchanges/why-oil-prices-are-surging-despite-recovering-supply</x:v>
      </x:c>
      <x:c r="H21" s="11" t="str">
        <x:v>End CY2027</x:v>
      </x:c>
      <x:c r="I21" s="11" t="str">
        <x:v>Transcript, copper exchange with Daan Struyven</x:v>
      </x:c>
      <x:c r="J21" s="11" t="str">
        <x:v>Public $15,600/t end-2027 view and stockbuilding / scrap mechanisms</x:v>
      </x:c>
      <x:c r="K21" s="12" t="str">
        <x:v>Bank public forecast</x:v>
      </x:c>
      <x:c r="L21" s="12" t="str">
        <x:v>Verified primary transcript</x:v>
      </x:c>
      <x:c r="M21" s="12" t="str">
        <x:v>Point forecast, not verification of $15,400 annual-average original report</x:v>
      </x:c>
      <x:c r="N21" s="12" t="str">
        <x:v>Link and paraphrase; no audio or proprietary research redistributed</x:v>
      </x:c>
    </x:row>
    <x:row r="22" ht="92" customHeight="1">
      <x:c r="C22" s="2" t="str">
        <x:v>S17</x:v>
      </x:c>
      <x:c r="D22" s="4" t="str">
        <x:v>Ambi / SEA indexed documents</x:v>
      </x:c>
      <x:c r="E22" s="11" t="str">
        <x:v>Escondida SEIA file 2167965265</x:v>
      </x:c>
      <x:c r="F22" s="11" t="str">
        <x:v>Retrieved 2026-11-05</x:v>
      </x:c>
      <x:c r="G22" s="11" t="str">
        <x:v>https://ambihub.cl/seia/proyecto/2167965265</x:v>
      </x:c>
      <x:c r="H22" s="11" t="str">
        <x:v>Review through 4 November 2026</x:v>
      </x:c>
      <x:c r="I22" s="11" t="str">
        <x:v>Project metadata; ICSARA2; extension request</x:v>
      </x:c>
      <x:c r="J22" s="11" t="str">
        <x:v>Pending RCA; 9Oct questions; 14Oct extension; 4Nov applicant request</x:v>
      </x:c>
      <x:c r="K22" s="12" t="str">
        <x:v>Third-party index of official administrative record</x:v>
      </x:c>
      <x:c r="L22" s="12" t="str">
        <x:v>Mirror inspected; underlying October text inaccessible</x:v>
      </x:c>
      <x:c r="M22" s="12" t="str">
        <x:v>Procedural stage only; no quantified delay or severity; Nov4 request is not a granted extension</x:v>
      </x:c>
      <x:c r="N22" s="12" t="str">
        <x:v>Link; independent translation of selected metadata</x:v>
      </x:c>
    </x:row>
    <x:row r="23" ht="92" customHeight="1">
      <x:c r="C23" s="2" t="str">
        <x:v>S18</x:v>
      </x:c>
      <x:c r="D23" s="4" t="str">
        <x:v>FinancialJuice</x:v>
      </x:c>
      <x:c r="E23" s="11" t="str">
        <x:v>Goldman Sachs: Copper - FJElite</x:v>
      </x:c>
      <x:c r="F23" s="11" t="str">
        <x:v>2026-10-20</x:v>
      </x:c>
      <x:c r="G23" s="11" t="str">
        <x:v>https://www.financialjuice.com/News/9812752/Goldman-Sachs-Copper---FJElite.aspx?xy=rss</x:v>
      </x:c>
      <x:c r="H23" s="11" t="str">
        <x:v>CY2027 average / end2026</x:v>
      </x:c>
      <x:c r="I23" s="11" t="str">
        <x:v>20Oct 08:37 article body</x:v>
      </x:c>
      <x:c r="J23" s="11" t="str">
        <x:v>GS $15,400 average vs $13,800; $14,700 end2026</x:v>
      </x:c>
      <x:c r="K23" s="12" t="str">
        <x:v>Attributed bank forecast</x:v>
      </x:c>
      <x:c r="L23" s="12" t="str">
        <x:v>Substantive public secondary text inspected</x:v>
      </x:c>
      <x:c r="M23" s="12" t="str">
        <x:v>Original bank note not obtained; reporting may share sources</x:v>
      </x:c>
      <x:c r="N23" s="12" t="str">
        <x:v>Paraphrase, no original bank content bundled</x:v>
      </x:c>
    </x:row>
    <x:row r="24" ht="92" customHeight="1">
      <x:c r="C24" s="2" t="str">
        <x:v>S19</x:v>
      </x:c>
      <x:c r="D24" s="4" t="str">
        <x:v>ICSG</x:v>
      </x:c>
      <x:c r="E24" s="11" t="str">
        <x:v>Copper Market Forecast 2026/2027</x:v>
      </x:c>
      <x:c r="F24" s="11" t="str">
        <x:v>2026-10-14</x:v>
      </x:c>
      <x:c r="G24" s="11" t="str">
        <x:v>https://icsg.org/download/2026-10-14-press-release-icsg-copper-market-forecast-2026-2027/</x:v>
      </x:c>
      <x:c r="H24" s="11" t="str">
        <x:v>2026 and 2027 global refined market</x:v>
      </x:c>
      <x:c r="I24" s="11" t="str">
        <x:v>Linked two-page release, p.1 balance paragraph and methodology</x:v>
      </x:c>
      <x:c r="J24" s="11" t="str">
        <x:v>104kt / 368kt surplus; China apparent-use stock caveat</x:v>
      </x:c>
      <x:c r="K24" s="12" t="str">
        <x:v>Institutional forecast</x:v>
      </x:c>
      <x:c r="L24" s="12" t="str">
        <x:v>Primary PDF body inspected via catalog download</x:v>
      </x:c>
      <x:c r="M24" s="12" t="str">
        <x:v>PDF search metadata incorrectly says 2009; document body dated 14Oct2026; forecasts uncertain</x:v>
      </x:c>
      <x:c r="N24" s="12" t="str">
        <x:v>Link; original SMPT exhibit; selected factual values only</x:v>
      </x:c>
    </x:row>
    <x:row r="25" ht="92" customHeight="1">
      <x:c r="C25" s="2" t="str">
        <x:v>S20</x:v>
      </x:c>
      <x:c r="D25" s="4" t="str">
        <x:v>Business Recorder / Reuters</x:v>
      </x:c>
      <x:c r="E25" s="11" t="str">
        <x:v>Copper flat as China caution outweighs US stockpiling, Goldman upgrade</x:v>
      </x:c>
      <x:c r="F25" s="11" t="str">
        <x:v>2026-10-20</x:v>
      </x:c>
      <x:c r="G25" s="11" t="str">
        <x:v>https://www.brecorder.com/news/40445090/copper-flat-as-china-caution-outweighs-us-stockpiling-goldman-upgrade</x:v>
      </x:c>
      <x:c r="H25" s="11" t="str">
        <x:v>CY2027 average</x:v>
      </x:c>
      <x:c r="I25" s="11" t="str">
        <x:v>Goldman forecast paragraph</x:v>
      </x:c>
      <x:c r="J25" s="11" t="str">
        <x:v>Additional publicly attributed Goldman forecast coverage</x:v>
      </x:c>
      <x:c r="K25" s="12" t="str">
        <x:v>News reporting</x:v>
      </x:c>
      <x:c r="L25" s="12" t="str">
        <x:v>Public article inspected</x:v>
      </x:c>
      <x:c r="M25" s="12" t="str">
        <x:v>Secondary report, no original bank model</x:v>
      </x:c>
      <x:c r="N25" s="12" t="str">
        <x:v>Link and independent paraphrase</x:v>
      </x:c>
    </x:row>
    <x:row r="26" ht="92" customHeight="1">
      <x:c r="C26" s="2" t="str">
        <x:v>S21</x:v>
      </x:c>
      <x:c r="D26" s="4" t="str">
        <x:v>SEA Chile</x:v>
      </x:c>
      <x:c r="E26" s="11" t="str">
        <x:v>Second ICSARA underlying document</x:v>
      </x:c>
      <x:c r="F26" s="11" t="str">
        <x:v>2026-10-09</x:v>
      </x:c>
      <x:c r="G26" s="11" t="str">
        <x:v>https://firma.sea.gob.cl/publicaciones/2026/10/09/1791570558_2169809262</x:v>
      </x:c>
      <x:c r="H26" s="11" t="str">
        <x:v>Environmental review</x:v>
      </x:c>
      <x:c r="I26" s="11" t="str">
        <x:v>Official link from S17</x:v>
      </x:c>
      <x:c r="J26" s="11" t="str">
        <x:v>Attempt to inspect substantive environmental questions</x:v>
      </x:c>
      <x:c r="K26" s="12" t="str">
        <x:v>Access record</x:v>
      </x:c>
      <x:c r="L26" s="12" t="str">
        <x:v>Inaccessible</x:v>
      </x:c>
      <x:c r="M26" s="12" t="str">
        <x:v>No inference about material conditions, approval probability or delay duration</x:v>
      </x:c>
      <x:c r="N26" s="12" t="str">
        <x:v>No source text redistributed</x:v>
      </x:c>
    </x:row>
    <x:row r="27" ht="22" customHeight="1">
      <x:c r="C27" s="2"/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Historical Financials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Metric</x:v>
      </x:c>
      <x:c r="D5" s="10" t="str">
        <x:v>FY2025</x:v>
      </x:c>
      <x:c r="E5" s="10" t="str">
        <x:v>FY2026</x:v>
      </x:c>
      <x:c r="F5" s="10" t="str">
        <x:v>Unit</x:v>
      </x:c>
      <x:c r="G5" s="10" t="str">
        <x:v>Source</x:v>
      </x:c>
      <x:c r="H5" s="4"/>
      <x:c r="I5" s="4"/>
      <x:c r="J5" s="4"/>
      <x:c r="K5" s="2"/>
      <x:c r="L5" s="2"/>
      <x:c r="M5" s="2"/>
      <x:c r="N5" s="2"/>
    </x:row>
    <x:row r="6" ht="22" customHeight="1">
      <x:c r="C6" s="2" t="str">
        <x:v>Group revenue</x:v>
      </x:c>
      <x:c r="D6" s="4" t="n">
        <x:v>51262</x:v>
      </x:c>
      <x:c r="E6" s="4" t="n">
        <x:v>58760</x:v>
      </x:c>
      <x:c r="F6" s="4" t="str">
        <x:v>US$m</x:v>
      </x:c>
      <x:c r="G6" s="4" t="str">
        <x:v>S03 PDF p.136</x:v>
      </x:c>
      <x:c r="H6" s="4"/>
      <x:c r="I6" s="4"/>
      <x:c r="J6" s="4"/>
      <x:c r="K6" s="2"/>
      <x:c r="L6" s="2"/>
      <x:c r="M6" s="2"/>
      <x:c r="N6" s="2"/>
    </x:row>
    <x:row r="7" ht="22" customHeight="1">
      <x:c r="C7" s="2" t="str">
        <x:v>Group underlying EBITDA</x:v>
      </x:c>
      <x:c r="D7" s="4" t="n">
        <x:v>25978</x:v>
      </x:c>
      <x:c r="E7" s="4" t="n">
        <x:v>32947</x:v>
      </x:c>
      <x:c r="F7" s="4" t="str">
        <x:v>US$m</x:v>
      </x:c>
      <x:c r="G7" s="4" t="str">
        <x:v>S03 PDF p.136</x:v>
      </x:c>
      <x:c r="H7" s="4"/>
      <x:c r="I7" s="4"/>
      <x:c r="J7" s="4"/>
      <x:c r="K7" s="2"/>
      <x:c r="L7" s="2"/>
      <x:c r="M7" s="2"/>
      <x:c r="N7" s="2"/>
    </x:row>
    <x:row r="8" ht="22" customHeight="1">
      <x:c r="C8" s="2" t="str">
        <x:v>Copper statutory segment revenue</x:v>
      </x:c>
      <x:c r="D8" s="4" t="n">
        <x:v>22530</x:v>
      </x:c>
      <x:c r="E8" s="4" t="n">
        <x:v>29031</x:v>
      </x:c>
      <x:c r="F8" s="4" t="str">
        <x:v>US$m</x:v>
      </x:c>
      <x:c r="G8" s="4" t="str">
        <x:v>S03 PDF p.136</x:v>
      </x:c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Copper statutory segment underlying EBITDA</x:v>
      </x:c>
      <x:c r="D9" s="4" t="n">
        <x:v>12326</x:v>
      </x:c>
      <x:c r="E9" s="4" t="n">
        <x:v>18187</x:v>
      </x:c>
      <x:c r="F9" s="4" t="str">
        <x:v>US$m</x:v>
      </x:c>
      <x:c r="G9" s="4" t="str">
        <x:v>S03 PDF p.136</x:v>
      </x:c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Group copper production (mixed reporting basis)</x:v>
      </x:c>
      <x:c r="D10" s="4" t="n">
        <x:v>2017</x:v>
      </x:c>
      <x:c r="E10" s="4" t="n">
        <x:v>1953</x:v>
      </x:c>
      <x:c r="F10" s="4" t="str">
        <x:v>kt</x:v>
      </x:c>
      <x:c r="G10" s="4" t="str">
        <x:v>S03 PDF p.30</x:v>
      </x:c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Realised copper price</x:v>
      </x:c>
      <x:c r="D11" s="18" t="n">
        <x:v>4.25</x:v>
      </x:c>
      <x:c r="E11" s="18" t="n">
        <x:v>5.74</x:v>
      </x:c>
      <x:c r="F11" s="4" t="str">
        <x:v>US$/lb</x:v>
      </x:c>
      <x:c r="G11" s="4" t="str">
        <x:v>S03 PDF p.30</x:v>
      </x:c>
      <x:c r="H11" s="4"/>
      <x:c r="I11" s="4"/>
      <x:c r="J11" s="4"/>
      <x:c r="K11" s="2"/>
      <x:c r="L11" s="2"/>
      <x:c r="M11" s="2"/>
      <x:c r="N11" s="2"/>
    </x:row>
    <x:row r="12" ht="22" customHeight="1">
      <x:c r="C12" s="2" t="str">
        <x:v>Capital and exploration cash expenditure</x:v>
      </x:c>
      <x:c r="D12" s="4" t="n">
        <x:v>9794</x:v>
      </x:c>
      <x:c r="E12" s="4" t="n">
        <x:v>10257</x:v>
      </x:c>
      <x:c r="F12" s="4" t="str">
        <x:v>US$m</x:v>
      </x:c>
      <x:c r="G12" s="4" t="str">
        <x:v>S03 PDF p.37</x:v>
      </x:c>
      <x:c r="H12" s="4"/>
      <x:c r="I12" s="4"/>
      <x:c r="J12" s="4"/>
      <x:c r="K12" s="2"/>
      <x:c r="L12" s="2"/>
      <x:c r="M12" s="2"/>
      <x:c r="N12" s="2"/>
    </x:row>
    <x:row r="13" ht="22" customHeight="1">
      <x:c r="C13" s="2" t="str">
        <x:v>Net operating cash flow</x:v>
      </x:c>
      <x:c r="D13" s="4" t="n">
        <x:v>18692</x:v>
      </x:c>
      <x:c r="E13" s="4" t="n">
        <x:v>21778</x:v>
      </x:c>
      <x:c r="F13" s="4" t="str">
        <x:v>US$m</x:v>
      </x:c>
      <x:c r="G13" s="4" t="str">
        <x:v>S03 PDF p.37</x:v>
      </x:c>
      <x:c r="H13" s="4"/>
      <x:c r="I13" s="4"/>
      <x:c r="J13" s="4"/>
      <x:c r="K13" s="2"/>
      <x:c r="L13" s="2"/>
      <x:c r="M13" s="2"/>
      <x:c r="N13" s="2"/>
    </x:row>
    <x:row r="14" ht="22" customHeight="1">
      <x:c r="C14" s="2" t="str">
        <x:v>Net investing cash flow</x:v>
      </x:c>
      <x:c r="D14" s="4" t="n">
        <x:v>-13350</x:v>
      </x:c>
      <x:c r="E14" s="4" t="n">
        <x:v>-12011</x:v>
      </x:c>
      <x:c r="F14" s="4" t="str">
        <x:v>US$m</x:v>
      </x:c>
      <x:c r="G14" s="4" t="str">
        <x:v>S03 PDF p.37</x:v>
      </x:c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Reported free cash flow</x:v>
      </x:c>
      <x:c r="D15" s="4" t="n">
        <x:v>5342</x:v>
      </x:c>
      <x:c r="E15" s="4" t="n">
        <x:v>9767</x:v>
      </x:c>
      <x:c r="F15" s="4" t="str">
        <x:v>US$m</x:v>
      </x:c>
      <x:c r="G15" s="4" t="str">
        <x:v>S03 PDF p.37</x:v>
      </x:c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Net debt</x:v>
      </x:c>
      <x:c r="D16" s="4" t="n">
        <x:v>12924</x:v>
      </x:c>
      <x:c r="E16" s="4" t="n">
        <x:v>8694</x:v>
      </x:c>
      <x:c r="F16" s="4" t="str">
        <x:v>US$m</x:v>
      </x:c>
      <x:c r="G16" s="4" t="str">
        <x:v>S03 PDF p.22</x:v>
      </x:c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BHP dividends paid (cash-flow statement)</x:v>
      </x:c>
      <x:c r="D17" s="4" t="n">
        <x:v>6403</x:v>
      </x:c>
      <x:c r="E17" s="4" t="n">
        <x:v>6756</x:v>
      </x:c>
      <x:c r="F17" s="4" t="str">
        <x:v>US$m</x:v>
      </x:c>
      <x:c r="G17" s="4" t="str">
        <x:v>S03 PDF p.132</x:v>
      </x:c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NCI dividends paid</x:v>
      </x:c>
      <x:c r="D18" s="4" t="n">
        <x:v>1873</x:v>
      </x:c>
      <x:c r="E18" s="4" t="n">
        <x:v>2355</x:v>
      </x:c>
      <x:c r="F18" s="4" t="str">
        <x:v>US$m</x:v>
      </x:c>
      <x:c r="G18" s="4" t="str">
        <x:v>S03 PDF p.132</x:v>
      </x:c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Escondida revenue (100%, consolidated)</x:v>
      </x:c>
      <x:c r="D19" s="4" t="n">
        <x:v>13177</x:v>
      </x:c>
      <x:c r="E19" s="4" t="n">
        <x:v>17054</x:v>
      </x:c>
      <x:c r="F19" s="4" t="str">
        <x:v>US$m</x:v>
      </x:c>
      <x:c r="G19" s="4" t="str">
        <x:v>S03 PDF p.163</x:v>
      </x:c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Escondida underlying EBITDA (100%)</x:v>
      </x:c>
      <x:c r="D20" s="4" t="n">
        <x:v>8593</x:v>
      </x:c>
      <x:c r="E20" s="4" t="n">
        <x:v>12440</x:v>
      </x:c>
      <x:c r="F20" s="4" t="str">
        <x:v>US$m</x:v>
      </x:c>
      <x:c r="G20" s="4" t="str">
        <x:v>S02 PDF pp.21-22</x:v>
      </x:c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Escondida net operating cash flow (100%)</x:v>
      </x:c>
      <x:c r="D21" s="4" t="n">
        <x:v>6263</x:v>
      </x:c>
      <x:c r="E21" s="4" t="n">
        <x:v>7551</x:v>
      </x:c>
      <x:c r="F21" s="4" t="str">
        <x:v>US$m</x:v>
      </x:c>
      <x:c r="G21" s="4" t="str">
        <x:v>S03 PDF p.163</x:v>
      </x:c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Iron ore underlying EBITDA</x:v>
      </x:c>
      <x:c r="D22" s="4" t="n">
        <x:v>14396</x:v>
      </x:c>
      <x:c r="E22" s="4" t="n">
        <x:v>14529</x:v>
      </x:c>
      <x:c r="F22" s="4" t="str">
        <x:v>US$m</x:v>
      </x:c>
      <x:c r="G22" s="4" t="str">
        <x:v>S03 PDF p.36</x:v>
      </x:c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Coal underlying EBITDA</x:v>
      </x:c>
      <x:c r="D23" s="4" t="n">
        <x:v>573</x:v>
      </x:c>
      <x:c r="E23" s="4" t="n">
        <x:v>832</x:v>
      </x:c>
      <x:c r="F23" s="4" t="str">
        <x:v>US$m</x:v>
      </x:c>
      <x:c r="G23" s="4" t="str">
        <x:v>S03 PDF p.36</x:v>
      </x:c>
      <x:c r="H23" s="4"/>
      <x:c r="I23" s="4"/>
      <x:c r="J23" s="4"/>
      <x:c r="K23" s="2"/>
      <x:c r="L23" s="2"/>
      <x:c r="M23" s="2"/>
      <x:c r="N23" s="2"/>
    </x:row>
    <x:row r="24" ht="22" customHeight="1">
      <x:c r="C24" s="2" t="str">
        <x:v>Group and unallocated EBITDA</x:v>
      </x:c>
      <x:c r="D24" s="4" t="n">
        <x:v>-1317</x:v>
      </x:c>
      <x:c r="E24" s="4" t="n">
        <x:v>-601</x:v>
      </x:c>
      <x:c r="F24" s="4" t="str">
        <x:v>US$m</x:v>
      </x:c>
      <x:c r="G24" s="4" t="str">
        <x:v>S03 PDF p.36</x:v>
      </x:c>
      <x:c r="H24" s="4"/>
      <x:c r="I24" s="4"/>
      <x:c r="J24" s="4"/>
      <x:c r="K24" s="2"/>
      <x:c r="L24" s="2"/>
      <x:c r="M24" s="2"/>
      <x:c r="N24" s="2"/>
    </x:row>
    <x:row r="25" ht="22" customHeight="1">
      <x:c r="C25" s="2" t="str">
        <x:v>Cash and equivalents</x:v>
      </x:c>
      <x:c r="D25" s="4" t="n">
        <x:v>11894</x:v>
      </x:c>
      <x:c r="E25" s="4" t="n">
        <x:v>18532</x:v>
      </x:c>
      <x:c r="F25" s="4" t="str">
        <x:v>US$m</x:v>
      </x:c>
      <x:c r="G25" s="4" t="str">
        <x:v>S03 PDF pp.164-165</x:v>
      </x:c>
      <x:c r="H25" s="4"/>
      <x:c r="I25" s="4"/>
      <x:c r="J25" s="4"/>
      <x:c r="K25" s="2"/>
      <x:c r="L25" s="2"/>
      <x:c r="M25" s="2"/>
      <x:c r="N25" s="2"/>
    </x:row>
    <x:row r="26" ht="22" customHeight="1">
      <x:c r="C26" s="2" t="str">
        <x:v>Contracted capital commitments</x:v>
      </x:c>
      <x:c r="D26" s="4" t="n">
        <x:v>4785</x:v>
      </x:c>
      <x:c r="E26" s="4" t="n">
        <x:v>4300</x:v>
      </x:c>
      <x:c r="F26" s="4" t="str">
        <x:v>US$m</x:v>
      </x:c>
      <x:c r="G26" s="4" t="str">
        <x:v>S03 PDF p.153</x:v>
      </x:c>
      <x:c r="H26" s="4"/>
      <x:c r="I26" s="4"/>
      <x:c r="J26" s="4"/>
      <x:c r="K26" s="2"/>
      <x:c r="L26" s="2"/>
      <x:c r="M26" s="2"/>
      <x:c r="N26" s="2"/>
    </x:row>
    <x:row r="27" ht="22" customHeight="1">
      <x:c r="C27" s="2" t="str">
        <x:v>Undrawn revolving credit facility</x:v>
      </x:c>
      <x:c r="D27" s="4" t="n">
        <x:v>5500</x:v>
      </x:c>
      <x:c r="E27" s="4" t="n">
        <x:v>5500</x:v>
      </x:c>
      <x:c r="F27" s="4" t="str">
        <x:v>US$m</x:v>
      </x:c>
      <x:c r="G27" s="4" t="str">
        <x:v>S03 PDF p.22</x:v>
      </x:c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 t="str">
        <x:v>Copper share excluding G&amp;U (BHP definition)</x:v>
      </x:c>
      <x:c r="D30" s="4"/>
      <x:c r="E30" s="13" t="n">
        <x:f>E9/(E9+E22+E23)</x:f>
        <x:v>0.5421187552164063</x:v>
      </x:c>
      <x:c r="F30" s="4"/>
      <x:c r="G30" s="4" t="str">
        <x:v>S03 PDF p.36 footnote 3</x:v>
      </x:c>
      <x:c r="H30" s="4"/>
      <x:c r="I30" s="4"/>
      <x:c r="J30" s="4"/>
      <x:c r="K30" s="2"/>
      <x:c r="L30" s="2"/>
      <x:c r="M30" s="2"/>
      <x:c r="N30" s="2"/>
    </x:row>
    <x:row r="31" ht="22" customHeight="1">
      <x:c r="C31" s="2" t="str">
        <x:v>Copper / group EBITDA (different denominator)</x:v>
      </x:c>
      <x:c r="D31" s="4"/>
      <x:c r="E31" s="13" t="n">
        <x:f>E9/E7</x:f>
        <x:v>0.5520077700549367</x:v>
      </x:c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Market Scenarios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Driver</x:v>
      </x:c>
      <x:c r="D5" s="10" t="str">
        <x:v>Active</x:v>
      </x:c>
      <x:c r="E5" s="10" t="str">
        <x:v>Base</x:v>
      </x:c>
      <x:c r="F5" s="10" t="str">
        <x:v>Upside</x:v>
      </x:c>
      <x:c r="G5" s="10" t="str">
        <x:v>Downside</x:v>
      </x:c>
      <x:c r="H5" s="10" t="str">
        <x:v>Delay</x:v>
      </x:c>
      <x:c r="I5" s="10" t="str">
        <x:v>Overrun</x:v>
      </x:c>
      <x:c r="J5" s="10" t="str">
        <x:v>Stress</x:v>
      </x:c>
      <x:c r="K5" s="9" t="str">
        <x:v>Classification</x:v>
      </x:c>
      <x:c r="L5" s="2"/>
      <x:c r="M5" s="2"/>
      <x:c r="N5" s="2"/>
    </x:row>
    <x:row r="6" ht="22" customHeight="1">
      <x:c r="C6" s="2" t="str">
        <x:v>Near-term price $/t</x:v>
      </x:c>
      <x:c r="D6" s="4" t="n">
        <x:f>CHOOSE('00 Model Guide'!$D$5,E6,F6,G6,H6,I6,J6)</x:f>
        <x:v>13000</x:v>
      </x:c>
      <x:c r="E6" s="6" t="n">
        <x:v>13000</x:v>
      </x:c>
      <x:c r="F6" s="6" t="n">
        <x:v>15400</x:v>
      </x:c>
      <x:c r="G6" s="6" t="n">
        <x:v>11000</x:v>
      </x:c>
      <x:c r="H6" s="6" t="n">
        <x:v>13000</x:v>
      </x:c>
      <x:c r="I6" s="6" t="n">
        <x:v>13000</x:v>
      </x:c>
      <x:c r="J6" s="6" t="n">
        <x:v>11000</x:v>
      </x:c>
      <x:c r="K6" s="2" t="str">
        <x:v>S12 / S08 / SMPT stress</x:v>
      </x:c>
      <x:c r="L6" s="2"/>
      <x:c r="M6" s="2"/>
      <x:c r="N6" s="2"/>
    </x:row>
    <x:row r="7" ht="22" customHeight="1">
      <x:c r="C7" s="2" t="str">
        <x:v>Production multiplier</x:v>
      </x:c>
      <x:c r="D7" s="19" t="n">
        <x:f>CHOOSE('00 Model Guide'!$D$5,E7,F7,G7,H7,I7,J7)</x:f>
        <x:v>1</x:v>
      </x:c>
      <x:c r="E7" s="20" t="n">
        <x:v>1</x:v>
      </x:c>
      <x:c r="F7" s="20" t="n">
        <x:v>1.05</x:v>
      </x:c>
      <x:c r="G7" s="20" t="n">
        <x:v>0.9</x:v>
      </x:c>
      <x:c r="H7" s="20" t="n">
        <x:v>1</x:v>
      </x:c>
      <x:c r="I7" s="20" t="n">
        <x:v>1</x:v>
      </x:c>
      <x:c r="J7" s="20" t="n">
        <x:v>0.9</x:v>
      </x:c>
      <x:c r="K7" s="2" t="str">
        <x:v>SMPT independent assumption</x:v>
      </x:c>
      <x:c r="L7" s="2"/>
      <x:c r="M7" s="2"/>
      <x:c r="N7" s="2"/>
    </x:row>
    <x:row r="8" ht="22" customHeight="1">
      <x:c r="C8" s="2" t="str">
        <x:v>Long-term screen price $/t</x:v>
      </x:c>
      <x:c r="D8" s="4" t="n">
        <x:f>CHOOSE('00 Model Guide'!$D$5,E8,F8,G8,H8,I8,J8)</x:f>
        <x:v>10494.003680000287</x:v>
      </x:c>
      <x:c r="E8" s="6" t="n">
        <x:v>10494.003680000287</x:v>
      </x:c>
      <x:c r="F8" s="6" t="n">
        <x:v>13000</x:v>
      </x:c>
      <x:c r="G8" s="6" t="n">
        <x:v>8500</x:v>
      </x:c>
      <x:c r="H8" s="6" t="n">
        <x:v>10494.003680000287</x:v>
      </x:c>
      <x:c r="I8" s="6" t="n">
        <x:v>10494.003680000287</x:v>
      </x:c>
      <x:c r="J8" s="6" t="n">
        <x:v>8500</x:v>
      </x:c>
      <x:c r="K8" s="2" t="str">
        <x:v>S01 $4.76/lb anchor / SMPT stresses</x:v>
      </x:c>
      <x:c r="L8" s="2"/>
      <x:c r="M8" s="2"/>
      <x:c r="N8" s="2"/>
    </x:row>
    <x:row r="9" ht="22" customHeight="1">
      <x:c r="C9" s="2" t="str">
        <x:v>Project capex factor</x:v>
      </x:c>
      <x:c r="D9" s="19" t="n">
        <x:f>CHOOSE('00 Model Guide'!$D$5,E9,F9,G9,H9,I9,J9)</x:f>
        <x:v>1</x:v>
      </x:c>
      <x:c r="E9" s="20" t="n">
        <x:v>1</x:v>
      </x:c>
      <x:c r="F9" s="20" t="n">
        <x:v>1</x:v>
      </x:c>
      <x:c r="G9" s="20" t="n">
        <x:v>1</x:v>
      </x:c>
      <x:c r="H9" s="20" t="n">
        <x:v>1</x:v>
      </x:c>
      <x:c r="I9" s="20" t="n">
        <x:v>1.2</x:v>
      </x:c>
      <x:c r="J9" s="20" t="n">
        <x:v>1.2</x:v>
      </x:c>
      <x:c r="K9" s="2" t="str">
        <x:v>SMPT independent assumption</x:v>
      </x:c>
      <x:c r="L9" s="2"/>
      <x:c r="M9" s="2"/>
      <x:c r="N9" s="2"/>
    </x:row>
    <x:row r="10" ht="22" customHeight="1">
      <x:c r="C10" s="2" t="str">
        <x:v>Benefit delay years</x:v>
      </x:c>
      <x:c r="D10" s="21" t="n">
        <x:f>CHOOSE('00 Model Guide'!$D$5,E10,F10,G10,H10,I10,J10)</x:f>
        <x:v>0</x:v>
      </x:c>
      <x:c r="E10" s="17" t="n">
        <x:v>0</x:v>
      </x:c>
      <x:c r="F10" s="17" t="n">
        <x:v>0</x:v>
      </x:c>
      <x:c r="G10" s="17" t="n">
        <x:v>0</x:v>
      </x:c>
      <x:c r="H10" s="17" t="n">
        <x:v>1</x:v>
      </x:c>
      <x:c r="I10" s="17" t="n">
        <x:v>0</x:v>
      </x:c>
      <x:c r="J10" s="17" t="n">
        <x:v>2</x:v>
      </x:c>
      <x:c r="K10" s="2" t="str">
        <x:v>SMPT independent assumption</x:v>
      </x:c>
      <x:c r="L10" s="2"/>
      <x:c r="M10" s="2"/>
      <x:c r="N10" s="2"/>
    </x:row>
    <x:row r="11" ht="22" customHeight="1">
      <x:c r="C11" s="2"/>
      <x:c r="D11" s="4"/>
      <x:c r="E11" s="4"/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/>
      <x:c r="D12" s="4"/>
      <x:c r="E12" s="4"/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/>
      <x:c r="D13" s="4"/>
      <x:c r="E13" s="4"/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8" customHeight="1">
      <x:c r="C14" s="9" t="str">
        <x:v>Shared input</x:v>
      </x:c>
      <x:c r="D14" s="10" t="str">
        <x:v>Value</x:v>
      </x:c>
      <x:c r="E14" s="10" t="str">
        <x:v>Classification / source</x:v>
      </x:c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Pounds per metric tonne</x:v>
      </x:c>
      <x:c r="D15" s="6" t="n">
        <x:v>2204.6226218488</x:v>
      </x:c>
      <x:c r="E15" s="4" t="str">
        <x:v>Physical unit conversion</x:v>
      </x:c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Payable / sales factor</x:v>
      </x:c>
      <x:c r="D16" s="14" t="n">
        <x:v>0.95</x:v>
      </x:c>
      <x:c r="E16" s="4" t="str">
        <x:v>SMPT assumption, not disclosed</x:v>
      </x:c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Marginal royalties / price-linked leakage</x:v>
      </x:c>
      <x:c r="D17" s="14" t="n">
        <x:v>0.05</x:v>
      </x:c>
      <x:c r="E17" s="4" t="str">
        <x:v>SMPT assumption</x:v>
      </x:c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Marginal cash tax wedge</x:v>
      </x:c>
      <x:c r="D18" s="14" t="n">
        <x:v>0.35</x:v>
      </x:c>
      <x:c r="E18" s="4" t="str">
        <x:v>SMPT assumption, not statutory tax</x:v>
      </x:c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Avoidable cost per tonne, volume sensitivity</x:v>
      </x:c>
      <x:c r="D19" s="6" t="n">
        <x:v>4000</x:v>
      </x:c>
      <x:c r="E19" s="4" t="str">
        <x:v>SMPT assumption, not BHP C1</x:v>
      </x:c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Project all-in net cash burden $/t</x:v>
      </x:c>
      <x:c r="D20" s="6" t="n">
        <x:v>4000</x:v>
      </x:c>
      <x:c r="E20" s="4" t="str">
        <x:v>SMPT levelized assumption</x:v>
      </x:c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Nominal discount rate</x:v>
      </x:c>
      <x:c r="D21" s="14" t="n">
        <x:v>0.1</x:v>
      </x:c>
      <x:c r="E21" s="4" t="str">
        <x:v>SMPT assumption</x:v>
      </x:c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Operating benefit years</x:v>
      </x:c>
      <x:c r="D22" s="17" t="n">
        <x:v>20</x:v>
      </x:c>
      <x:c r="E22" s="4" t="str">
        <x:v>SMPT assumption; BHP profile only FY34-43</x:v>
      </x:c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First full benefit year</x:v>
      </x:c>
      <x:c r="D23" s="17" t="n">
        <x:v>2032</x:v>
      </x:c>
      <x:c r="E23" s="4" t="str">
        <x:v>SMPT full-year convention; guidance CY31-32</x:v>
      </x:c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 t="str">
        <x:v>Gross project capex midpoint</x:v>
      </x:c>
      <x:c r="D24" s="6" t="n">
        <x:v>5850</x:v>
      </x:c>
      <x:c r="E24" s="4" t="str">
        <x:v>S01 slide28 $5.4-6.3bn nominal</x:v>
      </x:c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 t="str">
        <x:v>Facility output midpoint ktpa</x:v>
      </x:c>
      <x:c r="D25" s="6" t="n">
        <x:v>250</x:v>
      </x:c>
      <x:c r="E25" s="4" t="str">
        <x:v>S01 slide28 230-270ktpa; FY34-43</x:v>
      </x:c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 t="str">
        <x:v>BHP economic ownership</x:v>
      </x:c>
      <x:c r="D26" s="14" t="n">
        <x:v>0.575</x:v>
      </x:c>
      <x:c r="E26" s="4" t="str">
        <x:v>S06; S03 full consolidation</x:v>
      </x:c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 t="str">
        <x:v>First capital payment year</x:v>
      </x:c>
      <x:c r="D27" s="17" t="n">
        <x:v>2027</x:v>
      </x:c>
      <x:c r="E27" s="4" t="str">
        <x:v>SMPT schedule, not company draws</x:v>
      </x:c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 t="str">
        <x:v>Construction payment years</x:v>
      </x:c>
      <x:c r="D28" s="17" t="n">
        <x:v>5</x:v>
      </x:c>
      <x:c r="E28" s="4" t="str">
        <x:v>SMPT equal year-end payments</x:v>
      </x:c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 t="str">
        <x:v>Illustrative fraction at risk on delay</x:v>
      </x:c>
      <x:c r="D29" s="14" t="n">
        <x:v>0.5</x:v>
      </x:c>
      <x:c r="E29" s="4" t="str">
        <x:v>SMPT example only, counterfactual unknown</x:v>
      </x:c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 t="str">
        <x:v>Group FY27 guidance midpoint kt</x:v>
      </x:c>
      <x:c r="D30" s="6" t="n">
        <x:v>1725</x:v>
      </x:c>
      <x:c r="E30" s="4" t="str">
        <x:v>S05 1650-1800; not sum of asset midpoints</x:v>
      </x:c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 t="str">
        <x:v>Group annual capex guidance US$m</x:v>
      </x:c>
      <x:c r="D31" s="6" t="n">
        <x:v>11000</x:v>
      </x:c>
      <x:c r="E31" s="4" t="str">
        <x:v>S01/S02; excludes certain NOJV investing</x:v>
      </x:c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 t="str">
        <x:v>GS old CY2027 price $/t</x:v>
      </x:c>
      <x:c r="D32" s="6" t="n">
        <x:v>13800</x:v>
      </x:c>
      <x:c r="E32" s="4" t="str">
        <x:v>S08 / S09 secondary</x:v>
      </x:c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 t="str">
        <x:v>GS revised CY2027 price $/t</x:v>
      </x:c>
      <x:c r="D33" s="6" t="n">
        <x:v>15400</x:v>
      </x:c>
      <x:c r="E33" s="4" t="str">
        <x:v>S08 / S09 secondary</x:v>
      </x:c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 t="str">
        <x:v>Q1 FY27 realised price $/lb</x:v>
      </x:c>
      <x:c r="D34" s="6" t="n">
        <x:v>7.01</x:v>
      </x:c>
      <x:c r="E34" s="4" t="str">
        <x:v>S05 provisional; not LME spot</x:v>
      </x:c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 t="str">
        <x:v>Acceleration cost premium</x:v>
      </x:c>
      <x:c r="D35" s="14" t="n">
        <x:v>0.1</x:v>
      </x:c>
      <x:c r="E35" s="4" t="str">
        <x:v>SMPT option assumption</x:v>
      </x:c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 t="str">
        <x:v>Staging one-year escalation</x:v>
      </x:c>
      <x:c r="D36" s="14" t="n">
        <x:v>0.05</x:v>
      </x:c>
      <x:c r="E36" s="4" t="str">
        <x:v>SMPT option assumption</x:v>
      </x:c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 t="str">
        <x:v>Independent reference cases</x:v>
      </x:c>
      <x:c r="D40" s="4" t="str">
        <x:v>US$/t</x:v>
      </x:c>
      <x:c r="E40" s="4" t="str">
        <x:v>Horizon / source</x:v>
      </x:c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 t="str">
        <x:v>World Bank 2026</x:v>
      </x:c>
      <x:c r="D41" s="4" t="n">
        <x:v>13200</x:v>
      </x:c>
      <x:c r="E41" s="4" t="str">
        <x:v>S12 table1, CY average</x:v>
      </x:c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 t="str">
        <x:v>World Bank 2027</x:v>
      </x:c>
      <x:c r="D42" s="4" t="n">
        <x:v>13000</x:v>
      </x:c>
      <x:c r="E42" s="4" t="str">
        <x:v>S12 table1, CY average</x:v>
      </x:c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 t="str">
        <x:v>World Bank 2028</x:v>
      </x:c>
      <x:c r="D43" s="4" t="n">
        <x:v>12500</x:v>
      </x:c>
      <x:c r="E43" s="4" t="str">
        <x:v>S12 table1, CY average</x:v>
      </x:c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 t="str">
        <x:v>BHP FY27-31 cash-flow scenario</x:v>
      </x:c>
      <x:c r="D44" s="4" t="n">
        <x:v>11904.96215798352</x:v>
      </x:c>
      <x:c r="E44" s="4" t="str">
        <x:v>S01 slide35 UBS May2026 $5.40/lb</x:v>
      </x:c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 t="str">
        <x:v>BHP long-term project IRR anchor</x:v>
      </x:c>
      <x:c r="D45" s="4" t="n">
        <x:v>10494.003680000287</x:v>
      </x:c>
      <x:c r="E45" s="4" t="str">
        <x:v>S01 slide36, $4.76/lb</x:v>
      </x:c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 t="str">
        <x:v>Reported forwards in GS coverage</x:v>
      </x:c>
      <x:c r="D46" s="4" t="n">
        <x:v>14405</x:v>
      </x:c>
      <x:c r="E46" s="4" t="str">
        <x:v>S08 dated Oct19, not current verified curve</x:v>
      </x:c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Operating Sensitivity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Asset</x:v>
      </x:c>
      <x:c r="D5" s="10" t="str">
        <x:v>FY27 midpoint kt</x:v>
      </x:c>
      <x:c r="E5" s="10" t="str">
        <x:v>Basis</x:v>
      </x:c>
      <x:c r="F5" s="10" t="str">
        <x:v>Economic share</x:v>
      </x:c>
      <x:c r="G5" s="10" t="str">
        <x:v>Consolidated kt</x:v>
      </x:c>
      <x:c r="H5" s="10" t="str">
        <x:v>Attributable kt</x:v>
      </x:c>
      <x:c r="I5" s="4"/>
      <x:c r="J5" s="4"/>
      <x:c r="K5" s="2"/>
      <x:c r="L5" s="2"/>
      <x:c r="M5" s="2"/>
      <x:c r="N5" s="2"/>
    </x:row>
    <x:row r="6" ht="22" customHeight="1">
      <x:c r="C6" s="2" t="str">
        <x:v>Escondida</x:v>
      </x:c>
      <x:c r="D6" s="4" t="n">
        <x:v>1050</x:v>
      </x:c>
      <x:c r="E6" s="4" t="str">
        <x:v>100% consolidated</x:v>
      </x:c>
      <x:c r="F6" s="13" t="n">
        <x:v>0.575</x:v>
      </x:c>
      <x:c r="G6" s="4" t="n">
        <x:f>D6</x:f>
        <x:v>1050</x:v>
      </x:c>
      <x:c r="H6" s="4" t="n">
        <x:f>D6*F6</x:f>
        <x:v>603.75</x:v>
      </x:c>
      <x:c r="I6" s="4"/>
      <x:c r="J6" s="4"/>
      <x:c r="K6" s="2"/>
      <x:c r="L6" s="2"/>
      <x:c r="M6" s="2"/>
      <x:c r="N6" s="2"/>
    </x:row>
    <x:row r="7" ht="22" customHeight="1">
      <x:c r="C7" s="2" t="str">
        <x:v>Spence</x:v>
      </x:c>
      <x:c r="D7" s="4" t="n">
        <x:v>220</x:v>
      </x:c>
      <x:c r="E7" s="4" t="str">
        <x:v>100% consolidated</x:v>
      </x:c>
      <x:c r="F7" s="13" t="n">
        <x:v>1</x:v>
      </x:c>
      <x:c r="G7" s="4" t="n">
        <x:f>D7</x:f>
        <x:v>220</x:v>
      </x:c>
      <x:c r="H7" s="4" t="n">
        <x:f>D7*F7</x:f>
        <x:v>220</x:v>
      </x:c>
      <x:c r="I7" s="4"/>
      <x:c r="J7" s="4"/>
      <x:c r="K7" s="2"/>
      <x:c r="L7" s="2"/>
      <x:c r="M7" s="2"/>
      <x:c r="N7" s="2"/>
    </x:row>
    <x:row r="8" ht="22" customHeight="1">
      <x:c r="C8" s="2" t="str">
        <x:v>Copper SA</x:v>
      </x:c>
      <x:c r="D8" s="4" t="n">
        <x:v>305</x:v>
      </x:c>
      <x:c r="E8" s="4" t="str">
        <x:v>100% consolidated</x:v>
      </x:c>
      <x:c r="F8" s="13" t="n">
        <x:v>1</x:v>
      </x:c>
      <x:c r="G8" s="4" t="n">
        <x:f>D8</x:f>
        <x:v>305</x:v>
      </x:c>
      <x:c r="H8" s="4" t="n">
        <x:f>D8*F8</x:f>
        <x:v>305</x:v>
      </x:c>
      <x:c r="I8" s="4"/>
      <x:c r="J8" s="4"/>
      <x:c r="K8" s="2"/>
      <x:c r="L8" s="2"/>
      <x:c r="M8" s="2"/>
      <x:c r="N8" s="2"/>
    </x:row>
    <x:row r="9" ht="22" customHeight="1">
      <x:c r="C9" s="2" t="str">
        <x:v>Antamina</x:v>
      </x:c>
      <x:c r="D9" s="4" t="n">
        <x:v>130</x:v>
      </x:c>
      <x:c r="E9" s="4" t="str">
        <x:v>BHP share, equity accounted</x:v>
      </x:c>
      <x:c r="F9" s="13" t="n">
        <x:v>1</x:v>
      </x:c>
      <x:c r="G9" s="4" t="n">
        <x:f>0</x:f>
        <x:v>0</x:v>
      </x:c>
      <x:c r="H9" s="4" t="n">
        <x:f>D9*F9</x:f>
        <x:v>130</x:v>
      </x:c>
      <x:c r="I9" s="4"/>
      <x:c r="J9" s="4"/>
      <x:c r="K9" s="2"/>
      <x:c r="L9" s="2"/>
      <x:c r="M9" s="2"/>
      <x:c r="N9" s="2"/>
    </x:row>
    <x:row r="10" ht="22" customHeight="1">
      <x:c r="C10" s="2"/>
      <x:c r="D10" s="4"/>
      <x:c r="E10" s="4"/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Total</x:v>
      </x:c>
      <x:c r="D11" s="4"/>
      <x:c r="E11" s="4"/>
      <x:c r="F11" s="4"/>
      <x:c r="G11" s="4" t="n">
        <x:f>SUM(G6:G9)</x:f>
        <x:v>1575</x:v>
      </x:c>
      <x:c r="H11" s="4" t="n">
        <x:f>SUM(H6:H9)</x:f>
        <x:v>1258.75</x:v>
      </x:c>
      <x:c r="I11" s="4"/>
      <x:c r="J11" s="4"/>
      <x:c r="K11" s="2"/>
      <x:c r="L11" s="2"/>
      <x:c r="M11" s="2"/>
      <x:c r="N11" s="2"/>
    </x:row>
    <x:row r="12" ht="22" customHeight="1">
      <x:c r="C12" s="2" t="str">
        <x:v>SECONDARY FY27-scale diagnostics. Primary issuer sensitivity starts at row38.</x:v>
      </x:c>
      <x:c r="D12" s="4"/>
      <x:c r="E12" s="4"/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/>
      <x:c r="D13" s="4"/>
      <x:c r="E13" s="4"/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2" customHeight="1">
      <x:c r="C14" s="2" t="str">
        <x:v>Assumed sales factor</x:v>
      </x:c>
      <x:c r="D14" s="13" t="n">
        <x:f>'03 Market Scenarios'!D16</x:f>
        <x:v>0.95</x:v>
      </x:c>
      <x:c r="E14" s="4"/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Consolidated payable sales proxy kt</x:v>
      </x:c>
      <x:c r="D15" s="4" t="n">
        <x:f>G11*D14</x:f>
        <x:v>1496.25</x:v>
      </x:c>
      <x:c r="E15" s="4"/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FY26 realised baseline $/t</x:v>
      </x:c>
      <x:c r="D16" s="4" t="n">
        <x:f>'02 Historical Financials'!E11*'03 Market Scenarios'!D15</x:f>
        <x:v>12654.533849412113</x:v>
      </x:c>
      <x:c r="E16" s="4"/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Selected near-term $/t</x:v>
      </x:c>
      <x:c r="D17" s="4" t="n">
        <x:f>'03 Market Scenarios'!D6</x:f>
        <x:v>13000</x:v>
      </x:c>
      <x:c r="E17" s="4"/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Selected volume multiplier</x:v>
      </x:c>
      <x:c r="D18" s="19" t="n">
        <x:f>'03 Market Scenarios'!D7</x:f>
        <x:v>1</x:v>
      </x:c>
      <x:c r="E18" s="4"/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Gross price effect US$m</x:v>
      </x:c>
      <x:c r="D19" s="4" t="n">
        <x:f>D15*D18*(D17-D16)/1000</x:f>
        <x:v>516.9037278171254</x:v>
      </x:c>
      <x:c r="E19" s="4"/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Volume contribution effect US$m</x:v>
      </x:c>
      <x:c r="D20" s="4" t="n">
        <x:f>D15*(D18-1)*(D16-'03 Market Scenarios'!D19)/1000</x:f>
        <x:v>0</x:v>
      </x:c>
      <x:c r="E20" s="4"/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Consolidated EBITDA change proxy</x:v>
      </x:c>
      <x:c r="D21" s="4" t="n">
        <x:f>(D19+D20)*(1-'03 Market Scenarios'!D17)+D25</x:f>
        <x:v>491.05854142626913</x:v>
      </x:c>
      <x:c r="E21" s="4"/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Consolidated cash change proxy</x:v>
      </x:c>
      <x:c r="D22" s="4" t="n">
        <x:f>D21*(1-'03 Market Scenarios'!D18)</x:f>
        <x:v>319.1880519270749</x:v>
      </x:c>
      <x:c r="E22" s="4"/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Incremental Escondida minority cash proxy</x:v>
      </x:c>
      <x:c r="D23" s="4" t="n">
        <x:f>D22*G6/G11*(1-F6)</x:f>
        <x:v>90.43661471267124</x:v>
      </x:c>
      <x:c r="E23" s="4"/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 t="str">
        <x:v>Antamina gross price exposure, separate</x:v>
      </x:c>
      <x:c r="D24" s="4" t="n">
        <x:f>D9*D14*D18*(D17-D16)/1000</x:f>
        <x:v>42.665069597604</x:v>
      </x:c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 t="str">
        <x:v>By-product earnings change assumption</x:v>
      </x:c>
      <x:c r="D25" s="6" t="n">
        <x:v>0</x:v>
      </x:c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/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 t="str">
        <x:v>Isolated GS revision gross sales US$m</x:v>
      </x:c>
      <x:c r="D27" s="4" t="n">
        <x:f>D15*('03 Market Scenarios'!D33-'03 Market Scenarios'!D32)/1000</x:f>
        <x:v>2394</x:v>
      </x:c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 t="str">
        <x:v>Isolated GS revision EBITDA proxy</x:v>
      </x:c>
      <x:c r="D28" s="4" t="n">
        <x:f>D27*(1-'03 Market Scenarios'!D17)</x:f>
        <x:v>2274.2999999999997</x:v>
      </x:c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 t="str">
        <x:v>Isolated GS revision cash proxy</x:v>
      </x:c>
      <x:c r="D29" s="4" t="n">
        <x:f>D28*(1-'03 Market Scenarios'!D18)</x:f>
        <x:v>1478.2949999999998</x:v>
      </x:c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 t="str">
        <x:v>GS price revision percent</x:v>
      </x:c>
      <x:c r="D30" s="13" t="n">
        <x:f>'03 Market Scenarios'!D33/'03 Market Scenarios'!D32-1</x:f>
        <x:v>0.11594202898550732</x:v>
      </x:c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 t="str">
        <x:v>Q1 FY27 realised $/t</x:v>
      </x:c>
      <x:c r="D31" s="4" t="n">
        <x:f>'03 Market Scenarios'!D34*'03 Market Scenarios'!D15</x:f>
        <x:v>15454.404579160087</x:v>
      </x:c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 t="str">
        <x:v>GS2027 vs Q1 realised price</x:v>
      </x:c>
      <x:c r="D32" s="13" t="n">
        <x:f>'03 Market Scenarios'!D33/D31-1</x:f>
        <x:v>-0.003520328388028071</x:v>
      </x:c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 t="str">
        <x:v>Asset sum less published group midpoint</x:v>
      </x:c>
      <x:c r="D34" s="4" t="n">
        <x:f>SUM(D6:D9)-'03 Market Scenarios'!D30</x:f>
        <x:v>-20</x:v>
      </x:c>
      <x:c r="E34" s="4"/>
      <x:c r="F34" s="4"/>
      <x:c r="G34" s="4"/>
      <x:c r="H34" s="4"/>
      <x:c r="I34" s="4" t="str">
        <x:v>Guidance ranges have different endpoints; no volume plug.</x:v>
      </x:c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 t="str">
        <x:v>Cash proxies above are not forward group FCF or parent funding capacity.</x:v>
      </x:c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8" customHeight="1">
      <x:c r="C38" s="9" t="str">
        <x:v>BHP disclosed FY26 STATIC sensitivity</x:v>
      </x:c>
      <x:c r="D38" s="10" t="str">
        <x:v>Value</x:v>
      </x:c>
      <x:c r="E38" s="10" t="str">
        <x:v>Boundary</x:v>
      </x:c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 t="str">
        <x:v>US$m EBITDA per US cent/lb</x:v>
      </x:c>
      <x:c r="D39" s="4" t="n">
        <x:v>39</x:v>
      </x:c>
      <x:c r="E39" s="4" t="str">
        <x:v>S01 slide48: existing portfolio; equity-accounted excluded</x:v>
      </x:c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 t="str">
        <x:v>Reported prior GS reference price $/t</x:v>
      </x:c>
      <x:c r="D40" s="4" t="n">
        <x:f>'03 Market Scenarios'!D32</x:f>
        <x:v>13800</x:v>
      </x:c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 t="str">
        <x:v>Selected calendar price $/t</x:v>
      </x:c>
      <x:c r="D41" s="4" t="n">
        <x:f>'03 Market Scenarios'!D6</x:f>
        <x:v>13000</x:v>
      </x:c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 t="str">
        <x:v>Price difference $/t</x:v>
      </x:c>
      <x:c r="D42" s="4" t="n">
        <x:f>D41-D40</x:f>
        <x:v>-800</x:v>
      </x:c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 t="str">
        <x:v>Difference US cents/lb</x:v>
      </x:c>
      <x:c r="D43" s="4" t="n">
        <x:f>D42/'03 Market Scenarios'!D15*100</x:f>
        <x:v>-36.28738959999961</x:v>
      </x:c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 t="str">
        <x:v>FY26-static EBITDA differential US$m</x:v>
      </x:c>
      <x:c r="D44" s="4" t="n">
        <x:f>D43*D39</x:f>
        <x:v>-1415.2081943999847</x:v>
      </x:c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 t="str">
        <x:v>GS revision FY26-static EBITDA US$m</x:v>
      </x:c>
      <x:c r="D45" s="4" t="n">
        <x:f>('03 Market Scenarios'!D33-'03 Market Scenarios'!D32)/'03 Market Scenarios'!D15*100*D39</x:f>
        <x:v>2830.4163887999694</x:v>
      </x:c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 t="str">
        <x:v>GS vs WorldBank FY26-static EBITDA US$m</x:v>
      </x:c>
      <x:c r="D46" s="4" t="n">
        <x:f>('03 Market Scenarios'!D33-'03 Market Scenarios'!D42)/'03 Market Scenarios'!D15*100*D39</x:f>
        <x:v>4245.624583199954</x:v>
      </x:c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 t="str">
        <x:v>No cash, tax, NCI, EPS or FY27 earnings forecast follows from this static sensitivity.</x:v>
      </x:c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8" customHeight="1">
      <x:c r="C49" s="9" t="str">
        <x:v>Calendar 2027 reference</x:v>
      </x:c>
      <x:c r="D49" s="10" t="str">
        <x:v>Price $/t</x:v>
      </x:c>
      <x:c r="E49" s="10" t="str">
        <x:v>Delta cents/lb</x:v>
      </x:c>
      <x:c r="F49" s="10" t="str">
        <x:v>FY26-static EBITDA US$m</x:v>
      </x:c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 t="str">
        <x:v>World Bank 2027</x:v>
      </x:c>
      <x:c r="D50" s="4" t="n">
        <x:v>13000</x:v>
      </x:c>
      <x:c r="E50" s="4" t="n">
        <x:f>(D50-$D$40)/'03 Market Scenarios'!$D$15*100</x:f>
        <x:v>-36.28738959999961</x:v>
      </x:c>
      <x:c r="F50" s="4" t="n">
        <x:f>E50*$D$39</x:f>
        <x:v>-1415.2081943999847</x:v>
      </x:c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 t="str">
        <x:v>Previous GS reported</x:v>
      </x:c>
      <x:c r="D51" s="4" t="n">
        <x:v>13800</x:v>
      </x:c>
      <x:c r="E51" s="4" t="n">
        <x:f>(D51-$D$40)/'03 Market Scenarios'!$D$15*100</x:f>
        <x:v>0</x:v>
      </x:c>
      <x:c r="F51" s="4" t="n">
        <x:f>E51*$D$39</x:f>
        <x:v>0</x:v>
      </x:c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 t="str">
        <x:v>Dated forward snapshot</x:v>
      </x:c>
      <x:c r="D52" s="4" t="n">
        <x:v>14405</x:v>
      </x:c>
      <x:c r="E52" s="4" t="n">
        <x:f>(D52-$D$40)/'03 Market Scenarios'!$D$15*100</x:f>
        <x:v>27.442338384999697</x:v>
      </x:c>
      <x:c r="F52" s="4" t="n">
        <x:f>E52*$D$39</x:f>
        <x:v>1070.2511970149883</x:v>
      </x:c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 t="str">
        <x:v>Revised GS reported</x:v>
      </x:c>
      <x:c r="D53" s="4" t="n">
        <x:v>15400</x:v>
      </x:c>
      <x:c r="E53" s="4" t="n">
        <x:f>(D53-$D$40)/'03 Market Scenarios'!$D$15*100</x:f>
        <x:v>72.57477919999921</x:v>
      </x:c>
      <x:c r="F53" s="4" t="n">
        <x:f>E53*$D$39</x:f>
        <x:v>2830.4163887999694</x:v>
      </x:c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 t="str">
        <x:v>The $2.27bn FY27-scale EBITDA proxy above is about 20% lower than $2.83bn FY26 static.</x:v>
      </x:c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Capital Expenditure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FY27 capex category</x:v>
      </x:c>
      <x:c r="D5" s="10" t="str">
        <x:v>US$m</x:v>
      </x:c>
      <x:c r="E5" s="10" t="str">
        <x:v>Classification</x:v>
      </x:c>
      <x:c r="F5" s="4"/>
      <x:c r="G5" s="4"/>
      <x:c r="H5" s="4"/>
      <x:c r="I5" s="4"/>
      <x:c r="J5" s="4"/>
      <x:c r="K5" s="2"/>
      <x:c r="L5" s="2"/>
      <x:c r="M5" s="2"/>
      <x:c r="N5" s="2"/>
    </x:row>
    <x:row r="6" ht="22" customHeight="1">
      <x:c r="C6" s="2" t="str">
        <x:v>Deferred stripping</x:v>
      </x:c>
      <x:c r="D6" s="4" t="n">
        <x:v>1000</x:v>
      </x:c>
      <x:c r="E6" s="4" t="str">
        <x:v>S01 slide50 guidance</x:v>
      </x:c>
      <x:c r="F6" s="4"/>
      <x:c r="G6" s="4"/>
      <x:c r="H6" s="4"/>
      <x:c r="I6" s="4"/>
      <x:c r="J6" s="4"/>
      <x:c r="K6" s="2"/>
      <x:c r="L6" s="2"/>
      <x:c r="M6" s="2"/>
      <x:c r="N6" s="2"/>
    </x:row>
    <x:row r="7" ht="22" customHeight="1">
      <x:c r="C7" s="2" t="str">
        <x:v>Baseline sustaining</x:v>
      </x:c>
      <x:c r="D7" s="4" t="n">
        <x:v>3200</x:v>
      </x:c>
      <x:c r="E7" s="4" t="str">
        <x:v>S01 slide50 guidance</x:v>
      </x:c>
      <x:c r="F7" s="4"/>
      <x:c r="G7" s="4"/>
      <x:c r="H7" s="4"/>
      <x:c r="I7" s="4"/>
      <x:c r="J7" s="4"/>
      <x:c r="K7" s="2"/>
      <x:c r="L7" s="2"/>
      <x:c r="M7" s="2"/>
      <x:c r="N7" s="2"/>
    </x:row>
    <x:row r="8" ht="22" customHeight="1">
      <x:c r="C8" s="2" t="str">
        <x:v>Non-recurring sustaining</x:v>
      </x:c>
      <x:c r="D8" s="4" t="n">
        <x:v>2700</x:v>
      </x:c>
      <x:c r="E8" s="4" t="str">
        <x:v>S01 slide50 guidance</x:v>
      </x:c>
      <x:c r="F8" s="4"/>
      <x:c r="G8" s="4"/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Growth</x:v>
      </x:c>
      <x:c r="D9" s="4" t="n">
        <x:v>3800</x:v>
      </x:c>
      <x:c r="E9" s="4" t="str">
        <x:v>S01 slide50 guidance</x:v>
      </x:c>
      <x:c r="F9" s="4"/>
      <x:c r="G9" s="4"/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Exploration</x:v>
      </x:c>
      <x:c r="D10" s="4" t="n">
        <x:v>300</x:v>
      </x:c>
      <x:c r="E10" s="4" t="str">
        <x:v>S01 slide50 guidance</x:v>
      </x:c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Total FY27 guidance</x:v>
      </x:c>
      <x:c r="D11" s="4" t="n">
        <x:f>SUM(D6:D10)</x:f>
        <x:v>11000</x:v>
      </x:c>
      <x:c r="E11" s="4"/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/>
      <x:c r="D12" s="4"/>
      <x:c r="E12" s="4"/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/>
      <x:c r="D13" s="4"/>
      <x:c r="E13" s="4"/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8" customHeight="1">
      <x:c r="C14" s="9" t="str">
        <x:v>Project / capital fact</x:v>
      </x:c>
      <x:c r="D14" s="10" t="str">
        <x:v>Low US$m</x:v>
      </x:c>
      <x:c r="E14" s="10" t="str">
        <x:v>High US$m</x:v>
      </x:c>
      <x:c r="F14" s="10" t="str">
        <x:v>Basis / status</x:v>
      </x:c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Escondida New Concentrator</x:v>
      </x:c>
      <x:c r="D15" s="4" t="n">
        <x:v>5400</x:v>
      </x:c>
      <x:c r="E15" s="4" t="n">
        <x:v>6300</x:v>
      </x:c>
      <x:c r="F15" s="4" t="str">
        <x:v>100%; nominal; pre-FID</x:v>
      </x:c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BHP economic pro rata share</x:v>
      </x:c>
      <x:c r="D16" s="4" t="n">
        <x:f>D15*'03 Market Scenarios'!D26</x:f>
        <x:v>3104.9999999999995</x:v>
      </x:c>
      <x:c r="E16" s="4" t="n">
        <x:f>E15*'03 Market Scenarios'!D26</x:f>
        <x:v>3622.4999999999995</x:v>
      </x:c>
      <x:c r="F16" s="4" t="str">
        <x:v>57.5%; not consolidation factor</x:v>
      </x:c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Vicuña Stage I</x:v>
      </x:c>
      <x:c r="D17" s="4" t="n">
        <x:v>7000</x:v>
      </x:c>
      <x:c r="E17" s="4" t="n">
        <x:v>8000</x:v>
      </x:c>
      <x:c r="F17" s="4" t="str">
        <x:v>100% JV; real July2026; excludes later stages</x:v>
      </x:c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Vicuña BHP pro rata Stage I</x:v>
      </x:c>
      <x:c r="D18" s="4" t="n">
        <x:f>D17*0.5</x:f>
        <x:v>3500</x:v>
      </x:c>
      <x:c r="E18" s="4" t="n">
        <x:f>E17*0.5</x:f>
        <x:v>4000</x:v>
      </x:c>
      <x:c r="F18" s="4" t="str">
        <x:v>50%; NOJV investing, not group capex sum</x:v>
      </x:c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Copper SA smelter / refinery</x:v>
      </x:c>
      <x:c r="D19" s="4" t="n">
        <x:v>3200</x:v>
      </x:c>
      <x:c r="E19" s="4" t="n">
        <x:v>4100</x:v>
      </x:c>
      <x:c r="F19" s="4" t="str">
        <x:v>Real July2026; potential CY27 FID</x:v>
      </x:c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Copper SA mines / concentrators</x:v>
      </x:c>
      <x:c r="D20" s="4" t="n">
        <x:v>5800</x:v>
      </x:c>
      <x:c r="E20" s="4" t="n">
        <x:v>7500</x:v>
      </x:c>
      <x:c r="F20" s="4" t="str">
        <x:v>Real July2026; potential CY28/29 FID</x:v>
      </x:c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Jansen Stage 1 total</x:v>
      </x:c>
      <x:c r="D21" s="4" t="n">
        <x:v>8400</x:v>
      </x:c>
      <x:c r="E21" s="4" t="n">
        <x:v>8400</x:v>
      </x:c>
      <x:c r="F21" s="4" t="str">
        <x:v>Total budget; not remaining spend</x:v>
      </x:c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Jansen Stage 2 total</x:v>
      </x:c>
      <x:c r="D22" s="4" t="n">
        <x:v>6900</x:v>
      </x:c>
      <x:c r="E22" s="4" t="n">
        <x:v>6900</x:v>
      </x:c>
      <x:c r="F22" s="4" t="str">
        <x:v>Total revised budget; not remaining spend</x:v>
      </x:c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ENC approved readiness October</x:v>
      </x:c>
      <x:c r="D23" s="4" t="n">
        <x:v>800</x:v>
      </x:c>
      <x:c r="E23" s="4" t="n">
        <x:v>800</x:v>
      </x:c>
      <x:c r="F23" s="4" t="str">
        <x:v>100%; approval, not expenditure</x:v>
      </x:c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 t="str">
        <x:v>ENC readiness August</x:v>
      </x:c>
      <x:c r="D24" s="4" t="n">
        <x:v>500</x:v>
      </x:c>
      <x:c r="E24" s="4" t="n">
        <x:v>500</x:v>
      </x:c>
      <x:c r="F24" s="4" t="str">
        <x:v>Approx BHP share; not added to October</x:v>
      </x:c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/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/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 t="str">
        <x:v>Do not sum overlapping scopes, real and nominal budgets, or gross and BHP shares.</x:v>
      </x:c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 t="str">
        <x:v>NOJV investment and certain commercial commitments are outside reported group capex.</x:v>
      </x:c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Escondida Economics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Capital-recovery screen</x:v>
      </x:c>
      <x:c r="D5" s="10" t="str">
        <x:v>Active value</x:v>
      </x:c>
      <x:c r="E5" s="10" t="str">
        <x:v>Meaning</x:v>
      </x:c>
      <x:c r="F5" s="4"/>
      <x:c r="G5" s="4"/>
      <x:c r="H5" s="4"/>
      <x:c r="I5" s="4"/>
      <x:c r="J5" s="4"/>
      <x:c r="K5" s="2"/>
      <x:c r="L5" s="2"/>
      <x:c r="M5" s="2"/>
      <x:c r="N5" s="2"/>
    </x:row>
    <x:row r="6" ht="22" customHeight="1">
      <x:c r="C6" s="2" t="str">
        <x:v>Gross capex US$m</x:v>
      </x:c>
      <x:c r="D6" s="4" t="n">
        <x:f>'03 Market Scenarios'!D24*'03 Market Scenarios'!D9</x:f>
        <x:v>5850</x:v>
      </x:c>
      <x:c r="E6" s="4" t="str">
        <x:v>Nominal total budget including readiness</x:v>
      </x:c>
      <x:c r="F6" s="4"/>
      <x:c r="G6" s="4"/>
      <x:c r="H6" s="4"/>
      <x:c r="I6" s="4"/>
      <x:c r="J6" s="4"/>
      <x:c r="K6" s="2"/>
      <x:c r="L6" s="2"/>
      <x:c r="M6" s="2"/>
      <x:c r="N6" s="2"/>
    </x:row>
    <x:row r="7" ht="22" customHeight="1">
      <x:c r="C7" s="2" t="str">
        <x:v>BHP economic share US$m</x:v>
      </x:c>
      <x:c r="D7" s="4" t="n">
        <x:f>D6*'03 Market Scenarios'!D26</x:f>
        <x:v>3363.7499999999995</x:v>
      </x:c>
      <x:c r="E7" s="4" t="str">
        <x:v>Not the consolidated cash presentation</x:v>
      </x:c>
      <x:c r="F7" s="4"/>
      <x:c r="G7" s="4"/>
      <x:c r="H7" s="4"/>
      <x:c r="I7" s="4"/>
      <x:c r="J7" s="4"/>
      <x:c r="K7" s="2"/>
      <x:c r="L7" s="2"/>
      <x:c r="M7" s="2"/>
      <x:c r="N7" s="2"/>
    </x:row>
    <x:row r="8" ht="22" customHeight="1">
      <x:c r="C8" s="2" t="str">
        <x:v>Long-term copper $/t</x:v>
      </x:c>
      <x:c r="D8" s="4" t="n">
        <x:f>'03 Market Scenarios'!D8</x:f>
        <x:v>10494.003680000287</x:v>
      </x:c>
      <x:c r="E8" s="4" t="str">
        <x:v>Separate from near-term driver</x:v>
      </x:c>
      <x:c r="F8" s="4"/>
      <x:c r="G8" s="4"/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All-in net burden $/t</x:v>
      </x:c>
      <x:c r="D9" s="4" t="n">
        <x:f>'03 Market Scenarios'!D20</x:f>
        <x:v>4000</x:v>
      </x:c>
      <x:c r="E9" s="4" t="str">
        <x:v>SMPT assumption</x:v>
      </x:c>
      <x:c r="F9" s="4"/>
      <x:c r="G9" s="4"/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Cash tax wedge</x:v>
      </x:c>
      <x:c r="D10" s="13" t="n">
        <x:f>'03 Market Scenarios'!D18</x:f>
        <x:v>0.35</x:v>
      </x:c>
      <x:c r="E10" s="4" t="str">
        <x:v>Flat cash proxy; no tax depreciation shield</x:v>
      </x:c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Nominal discount rate</x:v>
      </x:c>
      <x:c r="D11" s="13" t="n">
        <x:f>'03 Market Scenarios'!D21</x:f>
        <x:v>0.1</x:v>
      </x:c>
      <x:c r="E11" s="4" t="str">
        <x:v>SMPT assumption</x:v>
      </x:c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 t="str">
        <x:v>Benefit years</x:v>
      </x:c>
      <x:c r="D12" s="21" t="n">
        <x:f>'03 Market Scenarios'!D22</x:f>
        <x:v>20</x:v>
      </x:c>
      <x:c r="E12" s="4" t="str">
        <x:v>Not a disclosed mine plan</x:v>
      </x:c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 t="str">
        <x:v>First benefit year</x:v>
      </x:c>
      <x:c r="D13" s="21" t="n">
        <x:f>'03 Market Scenarios'!D23+'03 Market Scenarios'!D10</x:f>
        <x:v>2032</x:v>
      </x:c>
      <x:c r="E13" s="4" t="str">
        <x:v>First full-year convention</x:v>
      </x:c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2" customHeight="1">
      <x:c r="C14" s="2" t="str">
        <x:v>PV capital US$m</x:v>
      </x:c>
      <x:c r="D14" s="4" t="n">
        <x:f>SUM(G31:G60)</x:f>
        <x:v>4435.220520207883</x:v>
      </x:c>
      <x:c r="E14" s="4" t="str">
        <x:v>End-2026 valuation origin</x:v>
      </x:c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PV annual benefit factor</x:v>
      </x:c>
      <x:c r="D15" s="4" t="n">
        <x:f>SUM(H31:H60)</x:f>
        <x:v>5.286253248820905</x:v>
      </x:c>
      <x:c r="E15" s="4" t="str">
        <x:v>Flat benefit, no terminal value</x:v>
      </x:c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Required annual after-tax benefit US$m</x:v>
      </x:c>
      <x:c r="D16" s="4" t="n">
        <x:f>D14/D15</x:f>
        <x:v>839.0102235826776</x:v>
      </x:c>
      <x:c r="E16" s="4" t="str">
        <x:v>Capital recovery, not actual cash forecast</x:v>
      </x:c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Required effective production ktpa</x:v>
      </x:c>
      <x:c r="D17" s="4" t="n">
        <x:f>IF(D8&gt;D9,D16*1000/((D8-D9)*(1-D10)),"n.a.")</x:f>
        <x:v>198.7656649061074</x:v>
      </x:c>
      <x:c r="E17" s="4" t="str">
        <x:v>Preserved or incremental vs no build</x:v>
      </x:c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Facility output midpoint ktpa</x:v>
      </x:c>
      <x:c r="D18" s="4" t="n">
        <x:f>'03 Market Scenarios'!D25</x:f>
        <x:v>250</x:v>
      </x:c>
      <x:c r="E18" s="4" t="str">
        <x:v>Total facility, not incremental mine output</x:v>
      </x:c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Required fraction of facility output</x:v>
      </x:c>
      <x:c r="D19" s="13" t="n">
        <x:f>IF(ISNUMBER(D17),D17/D18,"n.a.")</x:f>
        <x:v>0.7950626596244296</x:v>
      </x:c>
      <x:c r="E19" s="4" t="str">
        <x:v>Needs counterfactual proof</x:v>
      </x:c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Disclosed management IRR low</x:v>
      </x:c>
      <x:c r="D20" s="13" t="n">
        <x:v>0.16</x:v>
      </x:c>
      <x:c r="E20" s="4" t="str">
        <x:v>S01 slide28, not recalculated</x:v>
      </x:c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Disclosed management IRR high</x:v>
      </x:c>
      <x:c r="D21" s="13" t="n">
        <x:v>0.18</x:v>
      </x:c>
      <x:c r="E21" s="4" t="str">
        <x:v>S01 slide28, not recalculated</x:v>
      </x:c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/>
      <x:c r="D22" s="4"/>
      <x:c r="E22" s="4"/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/>
      <x:c r="D23" s="4"/>
      <x:c r="E23" s="4"/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 t="str">
        <x:v>No actual project NPV or independent IRR can be supported by public cash-flow inputs.</x:v>
      </x:c>
      <x:c r="D24" s="4"/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 t="str">
        <x:v>If price &lt;= all-in burden, positive production cannot recover capital.</x:v>
      </x:c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/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/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8" customHeight="1">
      <x:c r="C30" s="9" t="str">
        <x:v>Calendar year</x:v>
      </x:c>
      <x:c r="D30" s="10" t="str">
        <x:v>Years from end2026</x:v>
      </x:c>
      <x:c r="E30" s="10" t="str">
        <x:v>Capex US$m</x:v>
      </x:c>
      <x:c r="F30" s="10" t="str">
        <x:v>Discount factor</x:v>
      </x:c>
      <x:c r="G30" s="10" t="str">
        <x:v>PV capex US$m</x:v>
      </x:c>
      <x:c r="H30" s="10" t="str">
        <x:v>Benefit factor</x:v>
      </x:c>
      <x:c r="I30" s="4"/>
      <x:c r="J30" s="4"/>
      <x:c r="K30" s="2"/>
      <x:c r="L30" s="2"/>
      <x:c r="M30" s="2"/>
      <x:c r="N30" s="2"/>
    </x:row>
    <x:row r="31" ht="22" customHeight="1">
      <x:c r="C31" s="21" t="n">
        <x:v>2027</x:v>
      </x:c>
      <x:c r="D31" s="21" t="n">
        <x:f>C31-2026</x:f>
        <x:v>1</x:v>
      </x:c>
      <x:c r="E31" s="4" t="n">
        <x:f>IF(AND(C31&gt;='03 Market Scenarios'!$D$27,C31&lt;'03 Market Scenarios'!$D$27+'03 Market Scenarios'!$D$28),$D$6/'03 Market Scenarios'!$D$28,0)</x:f>
        <x:v>1170</x:v>
      </x:c>
      <x:c r="F31" s="4" t="n">
        <x:f>1/(1+$D$11)^D31</x:f>
        <x:v>0.9090909090909091</x:v>
      </x:c>
      <x:c r="G31" s="4" t="n">
        <x:f>E31*F31</x:f>
        <x:v>1063.6363636363635</x:v>
      </x:c>
      <x:c r="H31" s="4" t="n">
        <x:f>IF(AND(C31&gt;=$D$13,C31&lt;$D$13+$D$12),F31,0)</x:f>
        <x:v>0</x:v>
      </x:c>
      <x:c r="I31" s="4"/>
      <x:c r="J31" s="4"/>
      <x:c r="K31" s="2"/>
      <x:c r="L31" s="2"/>
      <x:c r="M31" s="2"/>
      <x:c r="N31" s="2"/>
    </x:row>
    <x:row r="32" ht="22" customHeight="1">
      <x:c r="C32" s="21" t="n">
        <x:v>2028</x:v>
      </x:c>
      <x:c r="D32" s="21" t="n">
        <x:f>C32-2026</x:f>
        <x:v>2</x:v>
      </x:c>
      <x:c r="E32" s="4" t="n">
        <x:f>IF(AND(C32&gt;='03 Market Scenarios'!$D$27,C32&lt;'03 Market Scenarios'!$D$27+'03 Market Scenarios'!$D$28),$D$6/'03 Market Scenarios'!$D$28,0)</x:f>
        <x:v>1170</x:v>
      </x:c>
      <x:c r="F32" s="4" t="n">
        <x:f>1/(1+$D$11)^D32</x:f>
        <x:v>0.8264462809917354</x:v>
      </x:c>
      <x:c r="G32" s="4" t="n">
        <x:f>E32*F32</x:f>
        <x:v>966.9421487603305</x:v>
      </x:c>
      <x:c r="H32" s="4" t="n">
        <x:f>IF(AND(C32&gt;=$D$13,C32&lt;$D$13+$D$12),F32,0)</x:f>
        <x:v>0</x:v>
      </x:c>
      <x:c r="I32" s="4"/>
      <x:c r="J32" s="4"/>
      <x:c r="K32" s="2"/>
      <x:c r="L32" s="2"/>
      <x:c r="M32" s="2"/>
      <x:c r="N32" s="2"/>
    </x:row>
    <x:row r="33" ht="22" customHeight="1">
      <x:c r="C33" s="21" t="n">
        <x:v>2029</x:v>
      </x:c>
      <x:c r="D33" s="21" t="n">
        <x:f>C33-2026</x:f>
        <x:v>3</x:v>
      </x:c>
      <x:c r="E33" s="4" t="n">
        <x:f>IF(AND(C33&gt;='03 Market Scenarios'!$D$27,C33&lt;'03 Market Scenarios'!$D$27+'03 Market Scenarios'!$D$28),$D$6/'03 Market Scenarios'!$D$28,0)</x:f>
        <x:v>1170</x:v>
      </x:c>
      <x:c r="F33" s="4" t="n">
        <x:f>1/(1+$D$11)^D33</x:f>
        <x:v>0.7513148009015775</x:v>
      </x:c>
      <x:c r="G33" s="4" t="n">
        <x:f>E33*F33</x:f>
        <x:v>879.0383170548457</x:v>
      </x:c>
      <x:c r="H33" s="4" t="n">
        <x:f>IF(AND(C33&gt;=$D$13,C33&lt;$D$13+$D$12),F33,0)</x:f>
        <x:v>0</x:v>
      </x:c>
      <x:c r="I33" s="4"/>
      <x:c r="J33" s="4"/>
      <x:c r="K33" s="2"/>
      <x:c r="L33" s="2"/>
      <x:c r="M33" s="2"/>
      <x:c r="N33" s="2"/>
    </x:row>
    <x:row r="34" ht="22" customHeight="1">
      <x:c r="C34" s="21" t="n">
        <x:v>2030</x:v>
      </x:c>
      <x:c r="D34" s="21" t="n">
        <x:f>C34-2026</x:f>
        <x:v>4</x:v>
      </x:c>
      <x:c r="E34" s="4" t="n">
        <x:f>IF(AND(C34&gt;='03 Market Scenarios'!$D$27,C34&lt;'03 Market Scenarios'!$D$27+'03 Market Scenarios'!$D$28),$D$6/'03 Market Scenarios'!$D$28,0)</x:f>
        <x:v>1170</x:v>
      </x:c>
      <x:c r="F34" s="4" t="n">
        <x:f>1/(1+$D$11)^D34</x:f>
        <x:v>0.6830134553650705</x:v>
      </x:c>
      <x:c r="G34" s="4" t="n">
        <x:f>E34*F34</x:f>
        <x:v>799.1257427771325</x:v>
      </x:c>
      <x:c r="H34" s="4" t="n">
        <x:f>IF(AND(C34&gt;=$D$13,C34&lt;$D$13+$D$12),F34,0)</x:f>
        <x:v>0</x:v>
      </x:c>
      <x:c r="I34" s="4"/>
      <x:c r="J34" s="4"/>
      <x:c r="K34" s="2"/>
      <x:c r="L34" s="2"/>
      <x:c r="M34" s="2"/>
      <x:c r="N34" s="2"/>
    </x:row>
    <x:row r="35" ht="22" customHeight="1">
      <x:c r="C35" s="21" t="n">
        <x:v>2031</x:v>
      </x:c>
      <x:c r="D35" s="21" t="n">
        <x:f>C35-2026</x:f>
        <x:v>5</x:v>
      </x:c>
      <x:c r="E35" s="4" t="n">
        <x:f>IF(AND(C35&gt;='03 Market Scenarios'!$D$27,C35&lt;'03 Market Scenarios'!$D$27+'03 Market Scenarios'!$D$28),$D$6/'03 Market Scenarios'!$D$28,0)</x:f>
        <x:v>1170</x:v>
      </x:c>
      <x:c r="F35" s="4" t="n">
        <x:f>1/(1+$D$11)^D35</x:f>
        <x:v>0.6209213230591549</x:v>
      </x:c>
      <x:c r="G35" s="4" t="n">
        <x:f>E35*F35</x:f>
        <x:v>726.4779479792113</x:v>
      </x:c>
      <x:c r="H35" s="4" t="n">
        <x:f>IF(AND(C35&gt;=$D$13,C35&lt;$D$13+$D$12),F35,0)</x:f>
        <x:v>0</x:v>
      </x:c>
      <x:c r="I35" s="4"/>
      <x:c r="J35" s="4"/>
      <x:c r="K35" s="2"/>
      <x:c r="L35" s="2"/>
      <x:c r="M35" s="2"/>
      <x:c r="N35" s="2"/>
    </x:row>
    <x:row r="36" ht="22" customHeight="1">
      <x:c r="C36" s="21" t="n">
        <x:v>2032</x:v>
      </x:c>
      <x:c r="D36" s="21" t="n">
        <x:f>C36-2026</x:f>
        <x:v>6</x:v>
      </x:c>
      <x:c r="E36" s="4" t="n">
        <x:f>IF(AND(C36&gt;='03 Market Scenarios'!$D$27,C36&lt;'03 Market Scenarios'!$D$27+'03 Market Scenarios'!$D$28),$D$6/'03 Market Scenarios'!$D$28,0)</x:f>
        <x:v>0</x:v>
      </x:c>
      <x:c r="F36" s="4" t="n">
        <x:f>1/(1+$D$11)^D36</x:f>
        <x:v>0.5644739300537772</x:v>
      </x:c>
      <x:c r="G36" s="4" t="n">
        <x:f>E36*F36</x:f>
        <x:v>0</x:v>
      </x:c>
      <x:c r="H36" s="4" t="n">
        <x:f>IF(AND(C36&gt;=$D$13,C36&lt;$D$13+$D$12),F36,0)</x:f>
        <x:v>0.5644739300537772</x:v>
      </x:c>
      <x:c r="I36" s="4"/>
      <x:c r="J36" s="4"/>
      <x:c r="K36" s="2"/>
      <x:c r="L36" s="2"/>
      <x:c r="M36" s="2"/>
      <x:c r="N36" s="2"/>
    </x:row>
    <x:row r="37" ht="22" customHeight="1">
      <x:c r="C37" s="21" t="n">
        <x:v>2033</x:v>
      </x:c>
      <x:c r="D37" s="21" t="n">
        <x:f>C37-2026</x:f>
        <x:v>7</x:v>
      </x:c>
      <x:c r="E37" s="4" t="n">
        <x:f>IF(AND(C37&gt;='03 Market Scenarios'!$D$27,C37&lt;'03 Market Scenarios'!$D$27+'03 Market Scenarios'!$D$28),$D$6/'03 Market Scenarios'!$D$28,0)</x:f>
        <x:v>0</x:v>
      </x:c>
      <x:c r="F37" s="4" t="n">
        <x:f>1/(1+$D$11)^D37</x:f>
        <x:v>0.5131581182307065</x:v>
      </x:c>
      <x:c r="G37" s="4" t="n">
        <x:f>E37*F37</x:f>
        <x:v>0</x:v>
      </x:c>
      <x:c r="H37" s="4" t="n">
        <x:f>IF(AND(C37&gt;=$D$13,C37&lt;$D$13+$D$12),F37,0)</x:f>
        <x:v>0.5131581182307065</x:v>
      </x:c>
      <x:c r="I37" s="4"/>
      <x:c r="J37" s="4"/>
      <x:c r="K37" s="2"/>
      <x:c r="L37" s="2"/>
      <x:c r="M37" s="2"/>
      <x:c r="N37" s="2"/>
    </x:row>
    <x:row r="38" ht="22" customHeight="1">
      <x:c r="C38" s="21" t="n">
        <x:v>2034</x:v>
      </x:c>
      <x:c r="D38" s="21" t="n">
        <x:f>C38-2026</x:f>
        <x:v>8</x:v>
      </x:c>
      <x:c r="E38" s="4" t="n">
        <x:f>IF(AND(C38&gt;='03 Market Scenarios'!$D$27,C38&lt;'03 Market Scenarios'!$D$27+'03 Market Scenarios'!$D$28),$D$6/'03 Market Scenarios'!$D$28,0)</x:f>
        <x:v>0</x:v>
      </x:c>
      <x:c r="F38" s="4" t="n">
        <x:f>1/(1+$D$11)^D38</x:f>
        <x:v>0.4665073802097331</x:v>
      </x:c>
      <x:c r="G38" s="4" t="n">
        <x:f>E38*F38</x:f>
        <x:v>0</x:v>
      </x:c>
      <x:c r="H38" s="4" t="n">
        <x:f>IF(AND(C38&gt;=$D$13,C38&lt;$D$13+$D$12),F38,0)</x:f>
        <x:v>0.4665073802097331</x:v>
      </x:c>
      <x:c r="I38" s="4"/>
      <x:c r="J38" s="4"/>
      <x:c r="K38" s="2"/>
      <x:c r="L38" s="2"/>
      <x:c r="M38" s="2"/>
      <x:c r="N38" s="2"/>
    </x:row>
    <x:row r="39" ht="22" customHeight="1">
      <x:c r="C39" s="21" t="n">
        <x:v>2035</x:v>
      </x:c>
      <x:c r="D39" s="21" t="n">
        <x:f>C39-2026</x:f>
        <x:v>9</x:v>
      </x:c>
      <x:c r="E39" s="4" t="n">
        <x:f>IF(AND(C39&gt;='03 Market Scenarios'!$D$27,C39&lt;'03 Market Scenarios'!$D$27+'03 Market Scenarios'!$D$28),$D$6/'03 Market Scenarios'!$D$28,0)</x:f>
        <x:v>0</x:v>
      </x:c>
      <x:c r="F39" s="4" t="n">
        <x:f>1/(1+$D$11)^D39</x:f>
        <x:v>0.42409761837248455</x:v>
      </x:c>
      <x:c r="G39" s="4" t="n">
        <x:f>E39*F39</x:f>
        <x:v>0</x:v>
      </x:c>
      <x:c r="H39" s="4" t="n">
        <x:f>IF(AND(C39&gt;=$D$13,C39&lt;$D$13+$D$12),F39,0)</x:f>
        <x:v>0.42409761837248455</x:v>
      </x:c>
      <x:c r="I39" s="4"/>
      <x:c r="J39" s="4"/>
      <x:c r="K39" s="2"/>
      <x:c r="L39" s="2"/>
      <x:c r="M39" s="2"/>
      <x:c r="N39" s="2"/>
    </x:row>
    <x:row r="40" ht="22" customHeight="1">
      <x:c r="C40" s="21" t="n">
        <x:v>2036</x:v>
      </x:c>
      <x:c r="D40" s="21" t="n">
        <x:f>C40-2026</x:f>
        <x:v>10</x:v>
      </x:c>
      <x:c r="E40" s="4" t="n">
        <x:f>IF(AND(C40&gt;='03 Market Scenarios'!$D$27,C40&lt;'03 Market Scenarios'!$D$27+'03 Market Scenarios'!$D$28),$D$6/'03 Market Scenarios'!$D$28,0)</x:f>
        <x:v>0</x:v>
      </x:c>
      <x:c r="F40" s="4" t="n">
        <x:f>1/(1+$D$11)^D40</x:f>
        <x:v>0.3855432894295314</x:v>
      </x:c>
      <x:c r="G40" s="4" t="n">
        <x:f>E40*F40</x:f>
        <x:v>0</x:v>
      </x:c>
      <x:c r="H40" s="4" t="n">
        <x:f>IF(AND(C40&gt;=$D$13,C40&lt;$D$13+$D$12),F40,0)</x:f>
        <x:v>0.3855432894295314</x:v>
      </x:c>
      <x:c r="I40" s="4"/>
      <x:c r="J40" s="4"/>
      <x:c r="K40" s="2"/>
      <x:c r="L40" s="2"/>
      <x:c r="M40" s="2"/>
      <x:c r="N40" s="2"/>
    </x:row>
    <x:row r="41" ht="22" customHeight="1">
      <x:c r="C41" s="21" t="n">
        <x:v>2037</x:v>
      </x:c>
      <x:c r="D41" s="21" t="n">
        <x:f>C41-2026</x:f>
        <x:v>11</x:v>
      </x:c>
      <x:c r="E41" s="4" t="n">
        <x:f>IF(AND(C41&gt;='03 Market Scenarios'!$D$27,C41&lt;'03 Market Scenarios'!$D$27+'03 Market Scenarios'!$D$28),$D$6/'03 Market Scenarios'!$D$28,0)</x:f>
        <x:v>0</x:v>
      </x:c>
      <x:c r="F41" s="4" t="n">
        <x:f>1/(1+$D$11)^D41</x:f>
        <x:v>0.3504938994813922</x:v>
      </x:c>
      <x:c r="G41" s="4" t="n">
        <x:f>E41*F41</x:f>
        <x:v>0</x:v>
      </x:c>
      <x:c r="H41" s="4" t="n">
        <x:f>IF(AND(C41&gt;=$D$13,C41&lt;$D$13+$D$12),F41,0)</x:f>
        <x:v>0.3504938994813922</x:v>
      </x:c>
      <x:c r="I41" s="4"/>
      <x:c r="J41" s="4"/>
      <x:c r="K41" s="2"/>
      <x:c r="L41" s="2"/>
      <x:c r="M41" s="2"/>
      <x:c r="N41" s="2"/>
    </x:row>
    <x:row r="42" ht="22" customHeight="1">
      <x:c r="C42" s="21" t="n">
        <x:v>2038</x:v>
      </x:c>
      <x:c r="D42" s="21" t="n">
        <x:f>C42-2026</x:f>
        <x:v>12</x:v>
      </x:c>
      <x:c r="E42" s="4" t="n">
        <x:f>IF(AND(C42&gt;='03 Market Scenarios'!$D$27,C42&lt;'03 Market Scenarios'!$D$27+'03 Market Scenarios'!$D$28),$D$6/'03 Market Scenarios'!$D$28,0)</x:f>
        <x:v>0</x:v>
      </x:c>
      <x:c r="F42" s="4" t="n">
        <x:f>1/(1+$D$11)^D42</x:f>
        <x:v>0.3186308177103565</x:v>
      </x:c>
      <x:c r="G42" s="4" t="n">
        <x:f>E42*F42</x:f>
        <x:v>0</x:v>
      </x:c>
      <x:c r="H42" s="4" t="n">
        <x:f>IF(AND(C42&gt;=$D$13,C42&lt;$D$13+$D$12),F42,0)</x:f>
        <x:v>0.3186308177103565</x:v>
      </x:c>
      <x:c r="I42" s="4"/>
      <x:c r="J42" s="4"/>
      <x:c r="K42" s="2"/>
      <x:c r="L42" s="2"/>
      <x:c r="M42" s="2"/>
      <x:c r="N42" s="2"/>
    </x:row>
    <x:row r="43" ht="22" customHeight="1">
      <x:c r="C43" s="21" t="n">
        <x:v>2039</x:v>
      </x:c>
      <x:c r="D43" s="21" t="n">
        <x:f>C43-2026</x:f>
        <x:v>13</x:v>
      </x:c>
      <x:c r="E43" s="4" t="n">
        <x:f>IF(AND(C43&gt;='03 Market Scenarios'!$D$27,C43&lt;'03 Market Scenarios'!$D$27+'03 Market Scenarios'!$D$28),$D$6/'03 Market Scenarios'!$D$28,0)</x:f>
        <x:v>0</x:v>
      </x:c>
      <x:c r="F43" s="4" t="n">
        <x:f>1/(1+$D$11)^D43</x:f>
        <x:v>0.2896643797366877</x:v>
      </x:c>
      <x:c r="G43" s="4" t="n">
        <x:f>E43*F43</x:f>
        <x:v>0</x:v>
      </x:c>
      <x:c r="H43" s="4" t="n">
        <x:f>IF(AND(C43&gt;=$D$13,C43&lt;$D$13+$D$12),F43,0)</x:f>
        <x:v>0.2896643797366877</x:v>
      </x:c>
      <x:c r="I43" s="4"/>
      <x:c r="J43" s="4"/>
      <x:c r="K43" s="2"/>
      <x:c r="L43" s="2"/>
      <x:c r="M43" s="2"/>
      <x:c r="N43" s="2"/>
    </x:row>
    <x:row r="44" ht="22" customHeight="1">
      <x:c r="C44" s="21" t="n">
        <x:v>2040</x:v>
      </x:c>
      <x:c r="D44" s="21" t="n">
        <x:f>C44-2026</x:f>
        <x:v>14</x:v>
      </x:c>
      <x:c r="E44" s="4" t="n">
        <x:f>IF(AND(C44&gt;='03 Market Scenarios'!$D$27,C44&lt;'03 Market Scenarios'!$D$27+'03 Market Scenarios'!$D$28),$D$6/'03 Market Scenarios'!$D$28,0)</x:f>
        <x:v>0</x:v>
      </x:c>
      <x:c r="F44" s="4" t="n">
        <x:f>1/(1+$D$11)^D44</x:f>
        <x:v>0.26333125430607973</x:v>
      </x:c>
      <x:c r="G44" s="4" t="n">
        <x:f>E44*F44</x:f>
        <x:v>0</x:v>
      </x:c>
      <x:c r="H44" s="4" t="n">
        <x:f>IF(AND(C44&gt;=$D$13,C44&lt;$D$13+$D$12),F44,0)</x:f>
        <x:v>0.26333125430607973</x:v>
      </x:c>
      <x:c r="I44" s="4"/>
      <x:c r="J44" s="4"/>
      <x:c r="K44" s="2"/>
      <x:c r="L44" s="2"/>
      <x:c r="M44" s="2"/>
      <x:c r="N44" s="2"/>
    </x:row>
    <x:row r="45" ht="22" customHeight="1">
      <x:c r="C45" s="21" t="n">
        <x:v>2041</x:v>
      </x:c>
      <x:c r="D45" s="21" t="n">
        <x:f>C45-2026</x:f>
        <x:v>15</x:v>
      </x:c>
      <x:c r="E45" s="4" t="n">
        <x:f>IF(AND(C45&gt;='03 Market Scenarios'!$D$27,C45&lt;'03 Market Scenarios'!$D$27+'03 Market Scenarios'!$D$28),$D$6/'03 Market Scenarios'!$D$28,0)</x:f>
        <x:v>0</x:v>
      </x:c>
      <x:c r="F45" s="4" t="n">
        <x:f>1/(1+$D$11)^D45</x:f>
        <x:v>0.23939204936916333</x:v>
      </x:c>
      <x:c r="G45" s="4" t="n">
        <x:f>E45*F45</x:f>
        <x:v>0</x:v>
      </x:c>
      <x:c r="H45" s="4" t="n">
        <x:f>IF(AND(C45&gt;=$D$13,C45&lt;$D$13+$D$12),F45,0)</x:f>
        <x:v>0.23939204936916333</x:v>
      </x:c>
      <x:c r="I45" s="4"/>
      <x:c r="J45" s="4"/>
      <x:c r="K45" s="2"/>
      <x:c r="L45" s="2"/>
      <x:c r="M45" s="2"/>
      <x:c r="N45" s="2"/>
    </x:row>
    <x:row r="46" ht="22" customHeight="1">
      <x:c r="C46" s="21" t="n">
        <x:v>2042</x:v>
      </x:c>
      <x:c r="D46" s="21" t="n">
        <x:f>C46-2026</x:f>
        <x:v>16</x:v>
      </x:c>
      <x:c r="E46" s="4" t="n">
        <x:f>IF(AND(C46&gt;='03 Market Scenarios'!$D$27,C46&lt;'03 Market Scenarios'!$D$27+'03 Market Scenarios'!$D$28),$D$6/'03 Market Scenarios'!$D$28,0)</x:f>
        <x:v>0</x:v>
      </x:c>
      <x:c r="F46" s="4" t="n">
        <x:f>1/(1+$D$11)^D46</x:f>
        <x:v>0.2176291357901485</x:v>
      </x:c>
      <x:c r="G46" s="4" t="n">
        <x:f>E46*F46</x:f>
        <x:v>0</x:v>
      </x:c>
      <x:c r="H46" s="4" t="n">
        <x:f>IF(AND(C46&gt;=$D$13,C46&lt;$D$13+$D$12),F46,0)</x:f>
        <x:v>0.2176291357901485</x:v>
      </x:c>
      <x:c r="I46" s="4"/>
      <x:c r="J46" s="4"/>
      <x:c r="K46" s="2"/>
      <x:c r="L46" s="2"/>
      <x:c r="M46" s="2"/>
      <x:c r="N46" s="2"/>
    </x:row>
    <x:row r="47" ht="22" customHeight="1">
      <x:c r="C47" s="21" t="n">
        <x:v>2043</x:v>
      </x:c>
      <x:c r="D47" s="21" t="n">
        <x:f>C47-2026</x:f>
        <x:v>17</x:v>
      </x:c>
      <x:c r="E47" s="4" t="n">
        <x:f>IF(AND(C47&gt;='03 Market Scenarios'!$D$27,C47&lt;'03 Market Scenarios'!$D$27+'03 Market Scenarios'!$D$28),$D$6/'03 Market Scenarios'!$D$28,0)</x:f>
        <x:v>0</x:v>
      </x:c>
      <x:c r="F47" s="4" t="n">
        <x:f>1/(1+$D$11)^D47</x:f>
        <x:v>0.19784466890013497</x:v>
      </x:c>
      <x:c r="G47" s="4" t="n">
        <x:f>E47*F47</x:f>
        <x:v>0</x:v>
      </x:c>
      <x:c r="H47" s="4" t="n">
        <x:f>IF(AND(C47&gt;=$D$13,C47&lt;$D$13+$D$12),F47,0)</x:f>
        <x:v>0.19784466890013497</x:v>
      </x:c>
      <x:c r="I47" s="4"/>
      <x:c r="J47" s="4"/>
      <x:c r="K47" s="2"/>
      <x:c r="L47" s="2"/>
      <x:c r="M47" s="2"/>
      <x:c r="N47" s="2"/>
    </x:row>
    <x:row r="48" ht="22" customHeight="1">
      <x:c r="C48" s="21" t="n">
        <x:v>2044</x:v>
      </x:c>
      <x:c r="D48" s="21" t="n">
        <x:f>C48-2026</x:f>
        <x:v>18</x:v>
      </x:c>
      <x:c r="E48" s="4" t="n">
        <x:f>IF(AND(C48&gt;='03 Market Scenarios'!$D$27,C48&lt;'03 Market Scenarios'!$D$27+'03 Market Scenarios'!$D$28),$D$6/'03 Market Scenarios'!$D$28,0)</x:f>
        <x:v>0</x:v>
      </x:c>
      <x:c r="F48" s="4" t="n">
        <x:f>1/(1+$D$11)^D48</x:f>
        <x:v>0.17985878990921358</x:v>
      </x:c>
      <x:c r="G48" s="4" t="n">
        <x:f>E48*F48</x:f>
        <x:v>0</x:v>
      </x:c>
      <x:c r="H48" s="4" t="n">
        <x:f>IF(AND(C48&gt;=$D$13,C48&lt;$D$13+$D$12),F48,0)</x:f>
        <x:v>0.17985878990921358</x:v>
      </x:c>
      <x:c r="I48" s="4"/>
      <x:c r="J48" s="4"/>
      <x:c r="K48" s="2"/>
      <x:c r="L48" s="2"/>
      <x:c r="M48" s="2"/>
      <x:c r="N48" s="2"/>
    </x:row>
    <x:row r="49" ht="22" customHeight="1">
      <x:c r="C49" s="21" t="n">
        <x:v>2045</x:v>
      </x:c>
      <x:c r="D49" s="21" t="n">
        <x:f>C49-2026</x:f>
        <x:v>19</x:v>
      </x:c>
      <x:c r="E49" s="4" t="n">
        <x:f>IF(AND(C49&gt;='03 Market Scenarios'!$D$27,C49&lt;'03 Market Scenarios'!$D$27+'03 Market Scenarios'!$D$28),$D$6/'03 Market Scenarios'!$D$28,0)</x:f>
        <x:v>0</x:v>
      </x:c>
      <x:c r="F49" s="4" t="n">
        <x:f>1/(1+$D$11)^D49</x:f>
        <x:v>0.16350799082655781</x:v>
      </x:c>
      <x:c r="G49" s="4" t="n">
        <x:f>E49*F49</x:f>
        <x:v>0</x:v>
      </x:c>
      <x:c r="H49" s="4" t="n">
        <x:f>IF(AND(C49&gt;=$D$13,C49&lt;$D$13+$D$12),F49,0)</x:f>
        <x:v>0.16350799082655781</x:v>
      </x:c>
      <x:c r="I49" s="4"/>
      <x:c r="J49" s="4"/>
      <x:c r="K49" s="2"/>
      <x:c r="L49" s="2"/>
      <x:c r="M49" s="2"/>
      <x:c r="N49" s="2"/>
    </x:row>
    <x:row r="50" ht="22" customHeight="1">
      <x:c r="C50" s="21" t="n">
        <x:v>2046</x:v>
      </x:c>
      <x:c r="D50" s="21" t="n">
        <x:f>C50-2026</x:f>
        <x:v>20</x:v>
      </x:c>
      <x:c r="E50" s="4" t="n">
        <x:f>IF(AND(C50&gt;='03 Market Scenarios'!$D$27,C50&lt;'03 Market Scenarios'!$D$27+'03 Market Scenarios'!$D$28),$D$6/'03 Market Scenarios'!$D$28,0)</x:f>
        <x:v>0</x:v>
      </x:c>
      <x:c r="F50" s="4" t="n">
        <x:f>1/(1+$D$11)^D50</x:f>
        <x:v>0.14864362802414344</x:v>
      </x:c>
      <x:c r="G50" s="4" t="n">
        <x:f>E50*F50</x:f>
        <x:v>0</x:v>
      </x:c>
      <x:c r="H50" s="4" t="n">
        <x:f>IF(AND(C50&gt;=$D$13,C50&lt;$D$13+$D$12),F50,0)</x:f>
        <x:v>0.14864362802414344</x:v>
      </x:c>
      <x:c r="I50" s="4"/>
      <x:c r="J50" s="4"/>
      <x:c r="K50" s="2"/>
      <x:c r="L50" s="2"/>
      <x:c r="M50" s="2"/>
      <x:c r="N50" s="2"/>
    </x:row>
    <x:row r="51" ht="22" customHeight="1">
      <x:c r="C51" s="21" t="n">
        <x:v>2047</x:v>
      </x:c>
      <x:c r="D51" s="21" t="n">
        <x:f>C51-2026</x:f>
        <x:v>21</x:v>
      </x:c>
      <x:c r="E51" s="4" t="n">
        <x:f>IF(AND(C51&gt;='03 Market Scenarios'!$D$27,C51&lt;'03 Market Scenarios'!$D$27+'03 Market Scenarios'!$D$28),$D$6/'03 Market Scenarios'!$D$28,0)</x:f>
        <x:v>0</x:v>
      </x:c>
      <x:c r="F51" s="4" t="n">
        <x:f>1/(1+$D$11)^D51</x:f>
        <x:v>0.13513057093103947</x:v>
      </x:c>
      <x:c r="G51" s="4" t="n">
        <x:f>E51*F51</x:f>
        <x:v>0</x:v>
      </x:c>
      <x:c r="H51" s="4" t="n">
        <x:f>IF(AND(C51&gt;=$D$13,C51&lt;$D$13+$D$12),F51,0)</x:f>
        <x:v>0.13513057093103947</x:v>
      </x:c>
      <x:c r="I51" s="4"/>
      <x:c r="J51" s="4"/>
      <x:c r="K51" s="2"/>
      <x:c r="L51" s="2"/>
      <x:c r="M51" s="2"/>
      <x:c r="N51" s="2"/>
    </x:row>
    <x:row r="52" ht="22" customHeight="1">
      <x:c r="C52" s="21" t="n">
        <x:v>2048</x:v>
      </x:c>
      <x:c r="D52" s="21" t="n">
        <x:f>C52-2026</x:f>
        <x:v>22</x:v>
      </x:c>
      <x:c r="E52" s="4" t="n">
        <x:f>IF(AND(C52&gt;='03 Market Scenarios'!$D$27,C52&lt;'03 Market Scenarios'!$D$27+'03 Market Scenarios'!$D$28),$D$6/'03 Market Scenarios'!$D$28,0)</x:f>
        <x:v>0</x:v>
      </x:c>
      <x:c r="F52" s="4" t="n">
        <x:f>1/(1+$D$11)^D52</x:f>
        <x:v>0.12284597357367225</x:v>
      </x:c>
      <x:c r="G52" s="4" t="n">
        <x:f>E52*F52</x:f>
        <x:v>0</x:v>
      </x:c>
      <x:c r="H52" s="4" t="n">
        <x:f>IF(AND(C52&gt;=$D$13,C52&lt;$D$13+$D$12),F52,0)</x:f>
        <x:v>0.12284597357367225</x:v>
      </x:c>
      <x:c r="I52" s="4"/>
      <x:c r="J52" s="4"/>
      <x:c r="K52" s="2"/>
      <x:c r="L52" s="2"/>
      <x:c r="M52" s="2"/>
      <x:c r="N52" s="2"/>
    </x:row>
    <x:row r="53" ht="22" customHeight="1">
      <x:c r="C53" s="21" t="n">
        <x:v>2049</x:v>
      </x:c>
      <x:c r="D53" s="21" t="n">
        <x:f>C53-2026</x:f>
        <x:v>23</x:v>
      </x:c>
      <x:c r="E53" s="4" t="n">
        <x:f>IF(AND(C53&gt;='03 Market Scenarios'!$D$27,C53&lt;'03 Market Scenarios'!$D$27+'03 Market Scenarios'!$D$28),$D$6/'03 Market Scenarios'!$D$28,0)</x:f>
        <x:v>0</x:v>
      </x:c>
      <x:c r="F53" s="4" t="n">
        <x:f>1/(1+$D$11)^D53</x:f>
        <x:v>0.11167815779424749</x:v>
      </x:c>
      <x:c r="G53" s="4" t="n">
        <x:f>E53*F53</x:f>
        <x:v>0</x:v>
      </x:c>
      <x:c r="H53" s="4" t="n">
        <x:f>IF(AND(C53&gt;=$D$13,C53&lt;$D$13+$D$12),F53,0)</x:f>
        <x:v>0.11167815779424749</x:v>
      </x:c>
      <x:c r="I53" s="4"/>
      <x:c r="J53" s="4"/>
      <x:c r="K53" s="2"/>
      <x:c r="L53" s="2"/>
      <x:c r="M53" s="2"/>
      <x:c r="N53" s="2"/>
    </x:row>
    <x:row r="54" ht="22" customHeight="1">
      <x:c r="C54" s="21" t="n">
        <x:v>2050</x:v>
      </x:c>
      <x:c r="D54" s="21" t="n">
        <x:f>C54-2026</x:f>
        <x:v>24</x:v>
      </x:c>
      <x:c r="E54" s="4" t="n">
        <x:f>IF(AND(C54&gt;='03 Market Scenarios'!$D$27,C54&lt;'03 Market Scenarios'!$D$27+'03 Market Scenarios'!$D$28),$D$6/'03 Market Scenarios'!$D$28,0)</x:f>
        <x:v>0</x:v>
      </x:c>
      <x:c r="F54" s="4" t="n">
        <x:f>1/(1+$D$11)^D54</x:f>
        <x:v>0.10152559799477044</x:v>
      </x:c>
      <x:c r="G54" s="4" t="n">
        <x:f>E54*F54</x:f>
        <x:v>0</x:v>
      </x:c>
      <x:c r="H54" s="4" t="n">
        <x:f>IF(AND(C54&gt;=$D$13,C54&lt;$D$13+$D$12),F54,0)</x:f>
        <x:v>0.10152559799477044</x:v>
      </x:c>
      <x:c r="I54" s="4"/>
      <x:c r="J54" s="4"/>
      <x:c r="K54" s="2"/>
      <x:c r="L54" s="2"/>
      <x:c r="M54" s="2"/>
      <x:c r="N54" s="2"/>
    </x:row>
    <x:row r="55" ht="22" customHeight="1">
      <x:c r="C55" s="21" t="n">
        <x:v>2051</x:v>
      </x:c>
      <x:c r="D55" s="21" t="n">
        <x:f>C55-2026</x:f>
        <x:v>25</x:v>
      </x:c>
      <x:c r="E55" s="4" t="n">
        <x:f>IF(AND(C55&gt;='03 Market Scenarios'!$D$27,C55&lt;'03 Market Scenarios'!$D$27+'03 Market Scenarios'!$D$28),$D$6/'03 Market Scenarios'!$D$28,0)</x:f>
        <x:v>0</x:v>
      </x:c>
      <x:c r="F55" s="4" t="n">
        <x:f>1/(1+$D$11)^D55</x:f>
        <x:v>0.09229599817706402</x:v>
      </x:c>
      <x:c r="G55" s="4" t="n">
        <x:f>E55*F55</x:f>
        <x:v>0</x:v>
      </x:c>
      <x:c r="H55" s="4" t="n">
        <x:f>IF(AND(C55&gt;=$D$13,C55&lt;$D$13+$D$12),F55,0)</x:f>
        <x:v>0.09229599817706402</x:v>
      </x:c>
      <x:c r="I55" s="4"/>
      <x:c r="J55" s="4"/>
      <x:c r="K55" s="2"/>
      <x:c r="L55" s="2"/>
      <x:c r="M55" s="2"/>
      <x:c r="N55" s="2"/>
    </x:row>
    <x:row r="56" ht="22" customHeight="1">
      <x:c r="C56" s="21" t="n">
        <x:v>2052</x:v>
      </x:c>
      <x:c r="D56" s="21" t="n">
        <x:f>C56-2026</x:f>
        <x:v>26</x:v>
      </x:c>
      <x:c r="E56" s="4" t="n">
        <x:f>IF(AND(C56&gt;='03 Market Scenarios'!$D$27,C56&lt;'03 Market Scenarios'!$D$27+'03 Market Scenarios'!$D$28),$D$6/'03 Market Scenarios'!$D$28,0)</x:f>
        <x:v>0</x:v>
      </x:c>
      <x:c r="F56" s="4" t="n">
        <x:f>1/(1+$D$11)^D56</x:f>
        <x:v>0.08390545288824001</x:v>
      </x:c>
      <x:c r="G56" s="4" t="n">
        <x:f>E56*F56</x:f>
        <x:v>0</x:v>
      </x:c>
      <x:c r="H56" s="4" t="n">
        <x:f>IF(AND(C56&gt;=$D$13,C56&lt;$D$13+$D$12),F56,0)</x:f>
        <x:v>0</x:v>
      </x:c>
      <x:c r="I56" s="4"/>
      <x:c r="J56" s="4"/>
      <x:c r="K56" s="2"/>
      <x:c r="L56" s="2"/>
      <x:c r="M56" s="2"/>
      <x:c r="N56" s="2"/>
    </x:row>
    <x:row r="57" ht="22" customHeight="1">
      <x:c r="C57" s="21" t="n">
        <x:v>2053</x:v>
      </x:c>
      <x:c r="D57" s="21" t="n">
        <x:f>C57-2026</x:f>
        <x:v>27</x:v>
      </x:c>
      <x:c r="E57" s="4" t="n">
        <x:f>IF(AND(C57&gt;='03 Market Scenarios'!$D$27,C57&lt;'03 Market Scenarios'!$D$27+'03 Market Scenarios'!$D$28),$D$6/'03 Market Scenarios'!$D$28,0)</x:f>
        <x:v>0</x:v>
      </x:c>
      <x:c r="F57" s="4" t="n">
        <x:f>1/(1+$D$11)^D57</x:f>
        <x:v>0.07627768444385455</x:v>
      </x:c>
      <x:c r="G57" s="4" t="n">
        <x:f>E57*F57</x:f>
        <x:v>0</x:v>
      </x:c>
      <x:c r="H57" s="4" t="n">
        <x:f>IF(AND(C57&gt;=$D$13,C57&lt;$D$13+$D$12),F57,0)</x:f>
        <x:v>0</x:v>
      </x:c>
      <x:c r="I57" s="4"/>
      <x:c r="J57" s="4"/>
      <x:c r="K57" s="2"/>
      <x:c r="L57" s="2"/>
      <x:c r="M57" s="2"/>
      <x:c r="N57" s="2"/>
    </x:row>
    <x:row r="58" ht="22" customHeight="1">
      <x:c r="C58" s="21" t="n">
        <x:v>2054</x:v>
      </x:c>
      <x:c r="D58" s="21" t="n">
        <x:f>C58-2026</x:f>
        <x:v>28</x:v>
      </x:c>
      <x:c r="E58" s="4" t="n">
        <x:f>IF(AND(C58&gt;='03 Market Scenarios'!$D$27,C58&lt;'03 Market Scenarios'!$D$27+'03 Market Scenarios'!$D$28),$D$6/'03 Market Scenarios'!$D$28,0)</x:f>
        <x:v>0</x:v>
      </x:c>
      <x:c r="F58" s="4" t="n">
        <x:f>1/(1+$D$11)^D58</x:f>
        <x:v>0.06934334949441322</x:v>
      </x:c>
      <x:c r="G58" s="4" t="n">
        <x:f>E58*F58</x:f>
        <x:v>0</x:v>
      </x:c>
      <x:c r="H58" s="4" t="n">
        <x:f>IF(AND(C58&gt;=$D$13,C58&lt;$D$13+$D$12),F58,0)</x:f>
        <x:v>0</x:v>
      </x:c>
      <x:c r="I58" s="4"/>
      <x:c r="J58" s="4"/>
      <x:c r="K58" s="2"/>
      <x:c r="L58" s="2"/>
      <x:c r="M58" s="2"/>
      <x:c r="N58" s="2"/>
    </x:row>
    <x:row r="59" ht="22" customHeight="1">
      <x:c r="C59" s="21" t="n">
        <x:v>2055</x:v>
      </x:c>
      <x:c r="D59" s="21" t="n">
        <x:f>C59-2026</x:f>
        <x:v>29</x:v>
      </x:c>
      <x:c r="E59" s="4" t="n">
        <x:f>IF(AND(C59&gt;='03 Market Scenarios'!$D$27,C59&lt;'03 Market Scenarios'!$D$27+'03 Market Scenarios'!$D$28),$D$6/'03 Market Scenarios'!$D$28,0)</x:f>
        <x:v>0</x:v>
      </x:c>
      <x:c r="F59" s="4" t="n">
        <x:f>1/(1+$D$11)^D59</x:f>
        <x:v>0.06303940863128475</x:v>
      </x:c>
      <x:c r="G59" s="4" t="n">
        <x:f>E59*F59</x:f>
        <x:v>0</x:v>
      </x:c>
      <x:c r="H59" s="4" t="n">
        <x:f>IF(AND(C59&gt;=$D$13,C59&lt;$D$13+$D$12),F59,0)</x:f>
        <x:v>0</x:v>
      </x:c>
      <x:c r="I59" s="4"/>
      <x:c r="J59" s="4"/>
      <x:c r="K59" s="2"/>
      <x:c r="L59" s="2"/>
      <x:c r="M59" s="2"/>
      <x:c r="N59" s="2"/>
    </x:row>
    <x:row r="60" ht="22" customHeight="1">
      <x:c r="C60" s="21" t="n">
        <x:v>2056</x:v>
      </x:c>
      <x:c r="D60" s="21" t="n">
        <x:f>C60-2026</x:f>
        <x:v>30</x:v>
      </x:c>
      <x:c r="E60" s="4" t="n">
        <x:f>IF(AND(C60&gt;='03 Market Scenarios'!$D$27,C60&lt;'03 Market Scenarios'!$D$27+'03 Market Scenarios'!$D$28),$D$6/'03 Market Scenarios'!$D$28,0)</x:f>
        <x:v>0</x:v>
      </x:c>
      <x:c r="F60" s="4" t="n">
        <x:f>1/(1+$D$11)^D60</x:f>
        <x:v>0.05730855330116795</x:v>
      </x:c>
      <x:c r="G60" s="4" t="n">
        <x:f>E60*F60</x:f>
        <x:v>0</x:v>
      </x:c>
      <x:c r="H60" s="4" t="n">
        <x:f>IF(AND(C60&gt;=$D$13,C60&lt;$D$13+$D$12),F60,0)</x:f>
        <x:v>0</x:v>
      </x:c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Funding Capacity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Funding evidence map</x:v>
      </x:c>
      <x:c r="D5" s="10" t="str">
        <x:v>US$m</x:v>
      </x:c>
      <x:c r="E5" s="10" t="str">
        <x:v>Period / scope</x:v>
      </x:c>
      <x:c r="F5" s="4"/>
      <x:c r="G5" s="4"/>
      <x:c r="H5" s="4"/>
      <x:c r="I5" s="4"/>
      <x:c r="J5" s="4"/>
      <x:c r="K5" s="2"/>
      <x:c r="L5" s="2"/>
      <x:c r="M5" s="2"/>
      <x:c r="N5" s="2"/>
    </x:row>
    <x:row r="6" ht="22" customHeight="1">
      <x:c r="C6" s="2" t="str">
        <x:v>Historical operating cash flow</x:v>
      </x:c>
      <x:c r="D6" s="4" t="n">
        <x:f>'02 Historical Financials'!E13</x:f>
        <x:v>21778</x:v>
      </x:c>
      <x:c r="E6" s="4" t="str">
        <x:v>FY26 consolidated</x:v>
      </x:c>
      <x:c r="F6" s="4"/>
      <x:c r="G6" s="4"/>
      <x:c r="H6" s="4"/>
      <x:c r="I6" s="4"/>
      <x:c r="J6" s="4"/>
      <x:c r="K6" s="2"/>
      <x:c r="L6" s="2"/>
      <x:c r="M6" s="2"/>
      <x:c r="N6" s="2"/>
    </x:row>
    <x:row r="7" ht="22" customHeight="1">
      <x:c r="C7" s="2" t="str">
        <x:v>Historical investing outflow</x:v>
      </x:c>
      <x:c r="D7" s="4" t="n">
        <x:f>-'02 Historical Financials'!E14</x:f>
        <x:v>12011</x:v>
      </x:c>
      <x:c r="E7" s="4" t="str">
        <x:v>FY26 signed outflow reversed</x:v>
      </x:c>
      <x:c r="F7" s="4"/>
      <x:c r="G7" s="4"/>
      <x:c r="H7" s="4"/>
      <x:c r="I7" s="4"/>
      <x:c r="J7" s="4"/>
      <x:c r="K7" s="2"/>
      <x:c r="L7" s="2"/>
      <x:c r="M7" s="2"/>
      <x:c r="N7" s="2"/>
    </x:row>
    <x:row r="8" ht="22" customHeight="1">
      <x:c r="C8" s="2" t="str">
        <x:v>Reported free cash flow</x:v>
      </x:c>
      <x:c r="D8" s="4" t="n">
        <x:f>D6-D7</x:f>
        <x:v>9767</x:v>
      </x:c>
      <x:c r="E8" s="4" t="str">
        <x:v>Already after investment</x:v>
      </x:c>
      <x:c r="F8" s="4"/>
      <x:c r="G8" s="4"/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BHP cash dividends</x:v>
      </x:c>
      <x:c r="D9" s="4" t="n">
        <x:f>'02 Historical Financials'!E17</x:f>
        <x:v>6756</x:v>
      </x:c>
      <x:c r="E9" s="4" t="str">
        <x:v>FY26 cash paid, not declared</x:v>
      </x:c>
      <x:c r="F9" s="4"/>
      <x:c r="G9" s="4"/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NCI dividends</x:v>
      </x:c>
      <x:c r="D10" s="4" t="n">
        <x:f>'02 Historical Financials'!E18</x:f>
        <x:v>2355</x:v>
      </x:c>
      <x:c r="E10" s="4" t="str">
        <x:v>FY26 cash paid</x:v>
      </x:c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FCF less cash dividends</x:v>
      </x:c>
      <x:c r="D11" s="4" t="n">
        <x:f>D8-D9-D10</x:f>
        <x:v>656</x:v>
      </x:c>
      <x:c r="E11" s="4" t="str">
        <x:v>Historical residual before other financing</x:v>
      </x:c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 t="str">
        <x:v>Silver streaming financing receipt</x:v>
      </x:c>
      <x:c r="D12" s="4" t="n">
        <x:v>4300</x:v>
      </x:c>
      <x:c r="E12" s="4" t="str">
        <x:v>FY26 financing liability, outside FCF</x:v>
      </x:c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 t="str">
        <x:v>Historical net debt</x:v>
      </x:c>
      <x:c r="D13" s="4" t="n">
        <x:f>'02 Historical Financials'!E16</x:f>
        <x:v>8694</x:v>
      </x:c>
      <x:c r="E13" s="4" t="str">
        <x:v>30Jun2026</x:v>
      </x:c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2" customHeight="1">
      <x:c r="C14" s="2" t="str">
        <x:v>Cash and equivalents</x:v>
      </x:c>
      <x:c r="D14" s="4" t="n">
        <x:f>'02 Historical Financials'!E25</x:f>
        <x:v>18532</x:v>
      </x:c>
      <x:c r="E14" s="4" t="str">
        <x:v>30Jun2026; includes $87m restricted</x:v>
      </x:c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Undrawn RCF</x:v>
      </x:c>
      <x:c r="D15" s="4" t="n">
        <x:v>5500</x:v>
      </x:c>
      <x:c r="E15" s="4" t="str">
        <x:v>30Jun2026; separate from cash</x:v>
      </x:c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Contracted capital commitments</x:v>
      </x:c>
      <x:c r="D16" s="4" t="n">
        <x:v>4300</x:v>
      </x:c>
      <x:c r="E16" s="4" t="str">
        <x:v>30Jun2026; overlaps planned investment</x:v>
      </x:c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/>
      <x:c r="D17" s="4"/>
      <x:c r="E17" s="4"/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8" customHeight="1">
      <x:c r="C18" s="9" t="str">
        <x:v>Management copper FCF projection</x:v>
      </x:c>
      <x:c r="D18" s="10" t="str">
        <x:v>Cumulative US$m</x:v>
      </x:c>
      <x:c r="E18" s="10" t="str">
        <x:v>Basis</x:v>
      </x:c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FY27-31</x:v>
      </x:c>
      <x:c r="D19" s="4" t="n">
        <x:v>12000</x:v>
      </x:c>
      <x:c r="E19" s="4" t="str">
        <x:v>S01 slide22: attributable, after modeled capex/NCI</x:v>
      </x:c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FY32-35</x:v>
      </x:c>
      <x:c r="D20" s="4" t="n">
        <x:v>24000</x:v>
      </x:c>
      <x:c r="E20" s="4" t="str">
        <x:v>S01 slide22: attributable, after modeled capex/NCI</x:v>
      </x:c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/>
      <x:c r="D21" s="4"/>
      <x:c r="E21" s="4"/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No additional ENC capex subtraction. These totals are not annual FCF guidance.</x:v>
      </x:c>
      <x:c r="D22" s="4"/>
      <x:c r="E22" s="4"/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No forward liquidity / net debt forecast is supported by the available inputs.</x:v>
      </x:c>
      <x:c r="D23" s="4"/>
      <x:c r="E23" s="4"/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/>
      <x:c r="D24" s="4"/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/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/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/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Scenarios and Decisions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Scenario</x:v>
      </x:c>
      <x:c r="D5" s="10" t="str">
        <x:v>Near-term $/t</x:v>
      </x:c>
      <x:c r="E5" s="10" t="str">
        <x:v>Long-term $/t</x:v>
      </x:c>
      <x:c r="F5" s="10" t="str">
        <x:v>Gross capex $m</x:v>
      </x:c>
      <x:c r="G5" s="10" t="str">
        <x:v>Delay years</x:v>
      </x:c>
      <x:c r="H5" s="10" t="str">
        <x:v>Required ktpa</x:v>
      </x:c>
      <x:c r="I5" s="10" t="str">
        <x:v>Facility fraction</x:v>
      </x:c>
      <x:c r="J5" s="4"/>
      <x:c r="K5" s="2"/>
      <x:c r="L5" s="2"/>
      <x:c r="M5" s="2"/>
      <x:c r="N5" s="2"/>
    </x:row>
    <x:row r="6" ht="22" customHeight="1">
      <x:c r="C6" s="2" t="str">
        <x:v>Base</x:v>
      </x:c>
      <x:c r="D6" s="4" t="n">
        <x:f>'03 Market Scenarios'!E6</x:f>
        <x:v>13000</x:v>
      </x:c>
      <x:c r="E6" s="4" t="n">
        <x:f>'03 Market Scenarios'!E8</x:f>
        <x:v>10494.003680000287</x:v>
      </x:c>
      <x:c r="F6" s="4" t="n">
        <x:f>'03 Market Scenarios'!D24*'03 Market Scenarios'!E9</x:f>
        <x:v>5850</x:v>
      </x:c>
      <x:c r="G6" s="4" t="n">
        <x:f>'03 Market Scenarios'!E10</x:f>
        <x:v>0</x:v>
      </x:c>
      <x:c r="H6" s="4" t="n">
        <x:f>F6/'03 Market Scenarios'!$D$28*((1-(1+'03 Market Scenarios'!$D$21)^(-'03 Market Scenarios'!$D$28))/'03 Market Scenarios'!$D$21)/((1-(1+'03 Market Scenarios'!$D$21)^(-'03 Market Scenarios'!$D$22))/'03 Market Scenarios'!$D$21/(1+'03 Market Scenarios'!$D$21)^('03 Market Scenarios'!$D$23+G6-2027))/((E6-'03 Market Scenarios'!$D$20)*(1-'03 Market Scenarios'!$D$18))*1000</x:f>
        <x:v>198.7656649061074</x:v>
      </x:c>
      <x:c r="I6" s="13" t="n">
        <x:f>H6/'03 Market Scenarios'!$D$25</x:f>
        <x:v>0.7950626596244296</x:v>
      </x:c>
      <x:c r="J6" s="4"/>
      <x:c r="K6" s="2"/>
      <x:c r="L6" s="2"/>
      <x:c r="M6" s="2"/>
      <x:c r="N6" s="2"/>
    </x:row>
    <x:row r="7" ht="22" customHeight="1">
      <x:c r="C7" s="2" t="str">
        <x:v>Upside</x:v>
      </x:c>
      <x:c r="D7" s="4" t="n">
        <x:f>'03 Market Scenarios'!F6</x:f>
        <x:v>15400</x:v>
      </x:c>
      <x:c r="E7" s="4" t="n">
        <x:f>'03 Market Scenarios'!F8</x:f>
        <x:v>13000</x:v>
      </x:c>
      <x:c r="F7" s="4" t="n">
        <x:f>'03 Market Scenarios'!D24*'03 Market Scenarios'!F9</x:f>
        <x:v>5850</x:v>
      </x:c>
      <x:c r="G7" s="4" t="n">
        <x:f>'03 Market Scenarios'!F10</x:f>
        <x:v>0</x:v>
      </x:c>
      <x:c r="H7" s="4" t="n">
        <x:f>F7/'03 Market Scenarios'!$D$28*((1-(1+'03 Market Scenarios'!$D$21)^(-'03 Market Scenarios'!$D$28))/'03 Market Scenarios'!$D$21)/((1-(1+'03 Market Scenarios'!$D$21)^(-'03 Market Scenarios'!$D$22))/'03 Market Scenarios'!$D$21/(1+'03 Market Scenarios'!$D$21)^('03 Market Scenarios'!$D$23+G7-2027))/((E7-'03 Market Scenarios'!$D$20)*(1-'03 Market Scenarios'!$D$18))*1000</x:f>
        <x:v>143.42055103977395</x:v>
      </x:c>
      <x:c r="I7" s="13" t="n">
        <x:f>H7/'03 Market Scenarios'!$D$25</x:f>
        <x:v>0.5736822041590958</x:v>
      </x:c>
      <x:c r="J7" s="4"/>
      <x:c r="K7" s="2"/>
      <x:c r="L7" s="2"/>
      <x:c r="M7" s="2"/>
      <x:c r="N7" s="2"/>
    </x:row>
    <x:row r="8" ht="22" customHeight="1">
      <x:c r="C8" s="2" t="str">
        <x:v>Downside</x:v>
      </x:c>
      <x:c r="D8" s="4" t="n">
        <x:f>'03 Market Scenarios'!G6</x:f>
        <x:v>11000</x:v>
      </x:c>
      <x:c r="E8" s="4" t="n">
        <x:f>'03 Market Scenarios'!G8</x:f>
        <x:v>8500</x:v>
      </x:c>
      <x:c r="F8" s="4" t="n">
        <x:f>'03 Market Scenarios'!D24*'03 Market Scenarios'!G9</x:f>
        <x:v>5850</x:v>
      </x:c>
      <x:c r="G8" s="4" t="n">
        <x:f>'03 Market Scenarios'!G10</x:f>
        <x:v>0</x:v>
      </x:c>
      <x:c r="H8" s="4" t="n">
        <x:f>F8/'03 Market Scenarios'!$D$28*((1-(1+'03 Market Scenarios'!$D$21)^(-'03 Market Scenarios'!$D$28))/'03 Market Scenarios'!$D$21)/((1-(1+'03 Market Scenarios'!$D$21)^(-'03 Market Scenarios'!$D$22))/'03 Market Scenarios'!$D$21/(1+'03 Market Scenarios'!$D$21)^('03 Market Scenarios'!$D$23+G8-2027))/((E8-'03 Market Scenarios'!$D$20)*(1-'03 Market Scenarios'!$D$18))*1000</x:f>
        <x:v>286.8411020795479</x:v>
      </x:c>
      <x:c r="I8" s="13" t="n">
        <x:f>H8/'03 Market Scenarios'!$D$25</x:f>
        <x:v>1.1473644083181915</x:v>
      </x:c>
      <x:c r="J8" s="4"/>
      <x:c r="K8" s="2"/>
      <x:c r="L8" s="2"/>
      <x:c r="M8" s="2"/>
      <x:c r="N8" s="2"/>
    </x:row>
    <x:row r="9" ht="22" customHeight="1">
      <x:c r="C9" s="2" t="str">
        <x:v>Delay</x:v>
      </x:c>
      <x:c r="D9" s="4" t="n">
        <x:f>'03 Market Scenarios'!H6</x:f>
        <x:v>13000</x:v>
      </x:c>
      <x:c r="E9" s="4" t="n">
        <x:f>'03 Market Scenarios'!H8</x:f>
        <x:v>10494.003680000287</x:v>
      </x:c>
      <x:c r="F9" s="4" t="n">
        <x:f>'03 Market Scenarios'!D24*'03 Market Scenarios'!H9</x:f>
        <x:v>5850</x:v>
      </x:c>
      <x:c r="G9" s="4" t="n">
        <x:f>'03 Market Scenarios'!H10</x:f>
        <x:v>1</x:v>
      </x:c>
      <x:c r="H9" s="4" t="n">
        <x:f>F9/'03 Market Scenarios'!$D$28*((1-(1+'03 Market Scenarios'!$D$21)^(-'03 Market Scenarios'!$D$28))/'03 Market Scenarios'!$D$21)/((1-(1+'03 Market Scenarios'!$D$21)^(-'03 Market Scenarios'!$D$22))/'03 Market Scenarios'!$D$21/(1+'03 Market Scenarios'!$D$21)^('03 Market Scenarios'!$D$23+G9-2027))/((E9-'03 Market Scenarios'!$D$20)*(1-'03 Market Scenarios'!$D$18))*1000</x:f>
        <x:v>218.6422313967182</x:v>
      </x:c>
      <x:c r="I9" s="13" t="n">
        <x:f>H9/'03 Market Scenarios'!$D$25</x:f>
        <x:v>0.8745689255868727</x:v>
      </x:c>
      <x:c r="J9" s="4"/>
      <x:c r="K9" s="2"/>
      <x:c r="L9" s="2"/>
      <x:c r="M9" s="2"/>
      <x:c r="N9" s="2"/>
    </x:row>
    <x:row r="10" ht="22" customHeight="1">
      <x:c r="C10" s="2" t="str">
        <x:v>Overrun</x:v>
      </x:c>
      <x:c r="D10" s="4" t="n">
        <x:f>'03 Market Scenarios'!I6</x:f>
        <x:v>13000</x:v>
      </x:c>
      <x:c r="E10" s="4" t="n">
        <x:f>'03 Market Scenarios'!I8</x:f>
        <x:v>10494.003680000287</x:v>
      </x:c>
      <x:c r="F10" s="4" t="n">
        <x:f>'03 Market Scenarios'!D24*'03 Market Scenarios'!I9</x:f>
        <x:v>7020</x:v>
      </x:c>
      <x:c r="G10" s="4" t="n">
        <x:f>'03 Market Scenarios'!I10</x:f>
        <x:v>0</x:v>
      </x:c>
      <x:c r="H10" s="4" t="n">
        <x:f>F10/'03 Market Scenarios'!$D$28*((1-(1+'03 Market Scenarios'!$D$21)^(-'03 Market Scenarios'!$D$28))/'03 Market Scenarios'!$D$21)/((1-(1+'03 Market Scenarios'!$D$21)^(-'03 Market Scenarios'!$D$22))/'03 Market Scenarios'!$D$21/(1+'03 Market Scenarios'!$D$21)^('03 Market Scenarios'!$D$23+G10-2027))/((E10-'03 Market Scenarios'!$D$20)*(1-'03 Market Scenarios'!$D$18))*1000</x:f>
        <x:v>238.5187978873289</x:v>
      </x:c>
      <x:c r="I10" s="13" t="n">
        <x:f>H10/'03 Market Scenarios'!$D$25</x:f>
        <x:v>0.9540751915493156</x:v>
      </x:c>
      <x:c r="J10" s="4"/>
      <x:c r="K10" s="2"/>
      <x:c r="L10" s="2"/>
      <x:c r="M10" s="2"/>
      <x:c r="N10" s="2"/>
    </x:row>
    <x:row r="11" ht="22" customHeight="1">
      <x:c r="C11" s="2" t="str">
        <x:v>Combined stress</x:v>
      </x:c>
      <x:c r="D11" s="4" t="n">
        <x:f>'03 Market Scenarios'!J6</x:f>
        <x:v>11000</x:v>
      </x:c>
      <x:c r="E11" s="4" t="n">
        <x:f>'03 Market Scenarios'!J8</x:f>
        <x:v>8500</x:v>
      </x:c>
      <x:c r="F11" s="4" t="n">
        <x:f>'03 Market Scenarios'!D24*'03 Market Scenarios'!J9</x:f>
        <x:v>7020</x:v>
      </x:c>
      <x:c r="G11" s="4" t="n">
        <x:f>'03 Market Scenarios'!J10</x:f>
        <x:v>2</x:v>
      </x:c>
      <x:c r="H11" s="4" t="n">
        <x:f>F11/'03 Market Scenarios'!$D$28*((1-(1+'03 Market Scenarios'!$D$21)^(-'03 Market Scenarios'!$D$28))/'03 Market Scenarios'!$D$21)/((1-(1+'03 Market Scenarios'!$D$21)^(-'03 Market Scenarios'!$D$22))/'03 Market Scenarios'!$D$21/(1+'03 Market Scenarios'!$D$21)^('03 Market Scenarios'!$D$23+G11-2027))/((E11-'03 Market Scenarios'!$D$20)*(1-'03 Market Scenarios'!$D$18))*1000</x:f>
        <x:v>416.49328021950373</x:v>
      </x:c>
      <x:c r="I11" s="13" t="n">
        <x:f>H11/'03 Market Scenarios'!$D$25</x:f>
        <x:v>1.6659731208780149</x:v>
      </x:c>
      <x:c r="J11" s="4"/>
      <x:c r="K11" s="2"/>
      <x:c r="L11" s="2"/>
      <x:c r="M11" s="2"/>
      <x:c r="N11" s="2"/>
    </x:row>
    <x:row r="12" ht="22" customHeight="1">
      <x:c r="C12" s="2"/>
      <x:c r="D12" s="4"/>
      <x:c r="E12" s="4"/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/>
      <x:c r="D13" s="4"/>
      <x:c r="E13" s="4"/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2" customHeight="1">
      <x:c r="C14" s="2"/>
      <x:c r="D14" s="4"/>
      <x:c r="E14" s="4"/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8" customHeight="1">
      <x:c r="C15" s="9" t="str">
        <x:v>Option screen</x:v>
      </x:c>
      <x:c r="D15" s="10" t="str">
        <x:v>Cost factor</x:v>
      </x:c>
      <x:c r="E15" s="10" t="str">
        <x:v>First capex</x:v>
      </x:c>
      <x:c r="F15" s="10" t="str">
        <x:v>First benefit</x:v>
      </x:c>
      <x:c r="G15" s="10" t="str">
        <x:v>PV capex $m</x:v>
      </x:c>
      <x:c r="H15" s="10" t="str">
        <x:v>Required annual $m</x:v>
      </x:c>
      <x:c r="I15" s="10" t="str">
        <x:v>Required ktpa</x:v>
      </x:c>
      <x:c r="J15" s="4"/>
      <x:c r="K15" s="2"/>
      <x:c r="L15" s="2"/>
      <x:c r="M15" s="2"/>
      <x:c r="N15" s="2"/>
    </x:row>
    <x:row r="16" ht="22" customHeight="1">
      <x:c r="C16" s="2" t="str">
        <x:v>Maintain</x:v>
      </x:c>
      <x:c r="D16" s="19" t="n">
        <x:v>1</x:v>
      </x:c>
      <x:c r="E16" s="21" t="n">
        <x:v>2027</x:v>
      </x:c>
      <x:c r="F16" s="21" t="n">
        <x:v>2032</x:v>
      </x:c>
      <x:c r="G16" s="4" t="n">
        <x:f>'03 Market Scenarios'!$D$24*D16/'03 Market Scenarios'!$D$28*((1-(1+'03 Market Scenarios'!$D$21)^(-'03 Market Scenarios'!$D$28))/'03 Market Scenarios'!$D$21)/(1+'03 Market Scenarios'!$D$21)^(E16-2027)</x:f>
        <x:v>4435.220520207887</x:v>
      </x:c>
      <x:c r="H16" s="4" t="n">
        <x:f>G16/((1-(1+'03 Market Scenarios'!$D$21)^(-'03 Market Scenarios'!$D$22))/'03 Market Scenarios'!$D$21/(1+'03 Market Scenarios'!$D$21)^(F16-2027))</x:f>
        <x:v>839.0102235826776</x:v>
      </x:c>
      <x:c r="I16" s="4" t="n">
        <x:f>H16/(('03 Market Scenarios'!$D$8-'03 Market Scenarios'!$D$20)*(1-'03 Market Scenarios'!$D$18))*1000</x:f>
        <x:v>198.7656649061074</x:v>
      </x:c>
      <x:c r="J16" s="4"/>
      <x:c r="K16" s="2"/>
      <x:c r="L16" s="2"/>
      <x:c r="M16" s="2"/>
      <x:c r="N16" s="2"/>
    </x:row>
    <x:row r="17" ht="22" customHeight="1">
      <x:c r="C17" s="2" t="str">
        <x:v>Accelerate one year</x:v>
      </x:c>
      <x:c r="D17" s="19" t="n">
        <x:f>1+'03 Market Scenarios'!D35</x:f>
        <x:v>1.1</x:v>
      </x:c>
      <x:c r="E17" s="21" t="n">
        <x:v>2026</x:v>
      </x:c>
      <x:c r="F17" s="21" t="n">
        <x:v>2031</x:v>
      </x:c>
      <x:c r="G17" s="4" t="n">
        <x:f>'03 Market Scenarios'!$D$24*D17/'03 Market Scenarios'!$D$28*((1-(1+'03 Market Scenarios'!$D$21)^(-'03 Market Scenarios'!$D$28))/'03 Market Scenarios'!$D$21)/(1+'03 Market Scenarios'!$D$21)^(E17-2027)</x:f>
        <x:v>5366.616829451545</x:v>
      </x:c>
      <x:c r="H17" s="4" t="n">
        <x:f>G17/((1-(1+'03 Market Scenarios'!$D$21)^(-'03 Market Scenarios'!$D$22))/'03 Market Scenarios'!$D$21/(1+'03 Market Scenarios'!$D$21)^(F17-2027))</x:f>
        <x:v>922.9112459409456</x:v>
      </x:c>
      <x:c r="I17" s="4" t="n">
        <x:f>H17/(('03 Market Scenarios'!$D$8-'03 Market Scenarios'!$D$20)*(1-'03 Market Scenarios'!$D$18))*1000</x:f>
        <x:v>218.64223139671822</x:v>
      </x:c>
      <x:c r="J17" s="4"/>
      <x:c r="K17" s="2"/>
      <x:c r="L17" s="2"/>
      <x:c r="M17" s="2"/>
      <x:c r="N17" s="2"/>
    </x:row>
    <x:row r="18" ht="22" customHeight="1">
      <x:c r="C18" s="2" t="str">
        <x:v>Stage one year</x:v>
      </x:c>
      <x:c r="D18" s="19" t="n">
        <x:f>1+'03 Market Scenarios'!D36</x:f>
        <x:v>1.05</x:v>
      </x:c>
      <x:c r="E18" s="21" t="n">
        <x:v>2028</x:v>
      </x:c>
      <x:c r="F18" s="21" t="n">
        <x:v>2033</x:v>
      </x:c>
      <x:c r="G18" s="4" t="n">
        <x:f>'03 Market Scenarios'!$D$24*D18/'03 Market Scenarios'!$D$28*((1-(1+'03 Market Scenarios'!$D$21)^(-'03 Market Scenarios'!$D$28))/'03 Market Scenarios'!$D$21)/(1+'03 Market Scenarios'!$D$21)^(E18-2027)</x:f>
        <x:v>4233.619587471165</x:v>
      </x:c>
      <x:c r="H18" s="4" t="n">
        <x:f>G18/((1-(1+'03 Market Scenarios'!$D$21)^(-'03 Market Scenarios'!$D$22))/'03 Market Scenarios'!$D$21/(1+'03 Market Scenarios'!$D$21)^(F18-2027))</x:f>
        <x:v>880.9607347618116</x:v>
      </x:c>
      <x:c r="I18" s="4" t="n">
        <x:f>H18/(('03 Market Scenarios'!$D$8-'03 Market Scenarios'!$D$20)*(1-'03 Market Scenarios'!$D$18))*1000</x:f>
        <x:v>208.7039481514128</x:v>
      </x:c>
      <x:c r="J18" s="4"/>
      <x:c r="K18" s="2"/>
      <x:c r="L18" s="2"/>
      <x:c r="M18" s="2"/>
      <x:c r="N18" s="2"/>
    </x:row>
    <x:row r="19" ht="22" customHeight="1">
      <x:c r="C19" s="2"/>
      <x:c r="D19" s="4"/>
      <x:c r="E19" s="4"/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/>
      <x:c r="D20" s="4"/>
      <x:c r="E20" s="4"/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Illustrative annual cash lost at 50% facility at risk</x:v>
      </x:c>
      <x:c r="D21" s="4" t="n">
        <x:f>'03 Market Scenarios'!D25*'03 Market Scenarios'!D29*('03 Market Scenarios'!D8-'03 Market Scenarios'!D20)*(1-'03 Market Scenarios'!D18)/1000</x:f>
        <x:v>527.6377990000234</x:v>
      </x:c>
      <x:c r="E21" s="4"/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First-year gross capex deferred by staging</x:v>
      </x:c>
      <x:c r="D22" s="4" t="n">
        <x:f>'03 Market Scenarios'!D24/'03 Market Scenarios'!D28</x:f>
        <x:v>1170</x:v>
      </x:c>
      <x:c r="E22" s="4"/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Cost and production effects depend on actual replacement constraints. These are option assumptions.</x:v>
      </x:c>
      <x:c r="D23" s="4"/>
      <x:c r="E23" s="4"/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/>
      <x:c r="D24" s="4"/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/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8" customHeight="1">
      <x:c r="C26" s="9" t="str">
        <x:v>Required ktpa: long-term price vs gross capex</x:v>
      </x:c>
      <x:c r="D26" s="10" t="n">
        <x:v>5400</x:v>
      </x:c>
      <x:c r="E26" s="10" t="n">
        <x:v>5850</x:v>
      </x:c>
      <x:c r="F26" s="10" t="n">
        <x:v>6300</x:v>
      </x:c>
      <x:c r="G26" s="10" t="n">
        <x:v>7020</x:v>
      </x:c>
      <x:c r="H26" s="4"/>
      <x:c r="I26" s="4"/>
      <x:c r="J26" s="4"/>
      <x:c r="K26" s="2"/>
      <x:c r="L26" s="2"/>
      <x:c r="M26" s="2"/>
      <x:c r="N26" s="2"/>
    </x:row>
    <x:row r="27" ht="22" customHeight="1">
      <x:c r="C27" s="22" t="n">
        <x:v>8500</x:v>
      </x:c>
      <x:c r="D27" s="4" t="n">
        <x:f>D$26/'03 Market Scenarios'!$D$28*((1-(1+'03 Market Scenarios'!$D$21)^(-'03 Market Scenarios'!$D$28))/'03 Market Scenarios'!$D$21)/'06 Escondida Economics'!$D$15/(($C27-'03 Market Scenarios'!$D$20)*(1-'03 Market Scenarios'!$D$18))*1000</x:f>
        <x:v>264.7764019195829</x:v>
      </x:c>
      <x:c r="E27" s="4" t="n">
        <x:f>E$26/'03 Market Scenarios'!$D$28*((1-(1+'03 Market Scenarios'!$D$21)^(-'03 Market Scenarios'!$D$28))/'03 Market Scenarios'!$D$21)/'06 Escondida Economics'!$D$15/(($C27-'03 Market Scenarios'!$D$20)*(1-'03 Market Scenarios'!$D$18))*1000</x:f>
        <x:v>286.8411020795481</x:v>
      </x:c>
      <x:c r="F27" s="4" t="n">
        <x:f>F$26/'03 Market Scenarios'!$D$28*((1-(1+'03 Market Scenarios'!$D$21)^(-'03 Market Scenarios'!$D$28))/'03 Market Scenarios'!$D$21)/'06 Escondida Economics'!$D$15/(($C27-'03 Market Scenarios'!$D$20)*(1-'03 Market Scenarios'!$D$18))*1000</x:f>
        <x:v>308.9058022395134</x:v>
      </x:c>
      <x:c r="G27" s="4" t="n">
        <x:f>G$26/'03 Market Scenarios'!$D$28*((1-(1+'03 Market Scenarios'!$D$21)^(-'03 Market Scenarios'!$D$28))/'03 Market Scenarios'!$D$21)/'06 Escondida Economics'!$D$15/(($C27-'03 Market Scenarios'!$D$20)*(1-'03 Market Scenarios'!$D$18))*1000</x:f>
        <x:v>344.2093224954578</x:v>
      </x:c>
      <x:c r="H27" s="4"/>
      <x:c r="I27" s="4"/>
      <x:c r="J27" s="4"/>
      <x:c r="K27" s="2"/>
      <x:c r="L27" s="2"/>
      <x:c r="M27" s="2"/>
      <x:c r="N27" s="2"/>
    </x:row>
    <x:row r="28" ht="22" customHeight="1">
      <x:c r="C28" s="22" t="n">
        <x:v>10494.00368</x:v>
      </x:c>
      <x:c r="D28" s="4" t="n">
        <x:f>D$26/'03 Market Scenarios'!$D$28*((1-(1+'03 Market Scenarios'!$D$21)^(-'03 Market Scenarios'!$D$28))/'03 Market Scenarios'!$D$21)/'06 Escondida Economics'!$D$15/(($C28-'03 Market Scenarios'!$D$20)*(1-'03 Market Scenarios'!$D$18))*1000</x:f>
        <x:v>183.4759983748767</x:v>
      </x:c>
      <x:c r="E28" s="4" t="n">
        <x:f>E$26/'03 Market Scenarios'!$D$28*((1-(1+'03 Market Scenarios'!$D$21)^(-'03 Market Scenarios'!$D$28))/'03 Market Scenarios'!$D$21)/'06 Escondida Economics'!$D$15/(($C28-'03 Market Scenarios'!$D$20)*(1-'03 Market Scenarios'!$D$18))*1000</x:f>
        <x:v>198.7656649061164</x:v>
      </x:c>
      <x:c r="F28" s="4" t="n">
        <x:f>F$26/'03 Market Scenarios'!$D$28*((1-(1+'03 Market Scenarios'!$D$21)^(-'03 Market Scenarios'!$D$28))/'03 Market Scenarios'!$D$21)/'06 Escondida Economics'!$D$15/(($C28-'03 Market Scenarios'!$D$20)*(1-'03 Market Scenarios'!$D$18))*1000</x:f>
        <x:v>214.0553314373561</x:v>
      </x:c>
      <x:c r="G28" s="4" t="n">
        <x:f>G$26/'03 Market Scenarios'!$D$28*((1-(1+'03 Market Scenarios'!$D$21)^(-'03 Market Scenarios'!$D$28))/'03 Market Scenarios'!$D$21)/'06 Escondida Economics'!$D$15/(($C28-'03 Market Scenarios'!$D$20)*(1-'03 Market Scenarios'!$D$18))*1000</x:f>
        <x:v>238.5187978873397</x:v>
      </x:c>
      <x:c r="H28" s="4"/>
      <x:c r="I28" s="4"/>
      <x:c r="J28" s="4"/>
      <x:c r="K28" s="2"/>
      <x:c r="L28" s="2"/>
      <x:c r="M28" s="2"/>
      <x:c r="N28" s="2"/>
    </x:row>
    <x:row r="29" ht="22" customHeight="1">
      <x:c r="C29" s="22" t="n">
        <x:v>13000</x:v>
      </x:c>
      <x:c r="D29" s="4" t="n">
        <x:f>D$26/'03 Market Scenarios'!$D$28*((1-(1+'03 Market Scenarios'!$D$21)^(-'03 Market Scenarios'!$D$28))/'03 Market Scenarios'!$D$21)/'06 Escondida Economics'!$D$15/(($C29-'03 Market Scenarios'!$D$20)*(1-'03 Market Scenarios'!$D$18))*1000</x:f>
        <x:v>132.38820095979145</x:v>
      </x:c>
      <x:c r="E29" s="4" t="n">
        <x:f>E$26/'03 Market Scenarios'!$D$28*((1-(1+'03 Market Scenarios'!$D$21)^(-'03 Market Scenarios'!$D$28))/'03 Market Scenarios'!$D$21)/'06 Escondida Economics'!$D$15/(($C29-'03 Market Scenarios'!$D$20)*(1-'03 Market Scenarios'!$D$18))*1000</x:f>
        <x:v>143.42055103977404</x:v>
      </x:c>
      <x:c r="F29" s="4" t="n">
        <x:f>F$26/'03 Market Scenarios'!$D$28*((1-(1+'03 Market Scenarios'!$D$21)^(-'03 Market Scenarios'!$D$28))/'03 Market Scenarios'!$D$21)/'06 Escondida Economics'!$D$15/(($C29-'03 Market Scenarios'!$D$20)*(1-'03 Market Scenarios'!$D$18))*1000</x:f>
        <x:v>154.4529011197567</x:v>
      </x:c>
      <x:c r="G29" s="4" t="n">
        <x:f>G$26/'03 Market Scenarios'!$D$28*((1-(1+'03 Market Scenarios'!$D$21)^(-'03 Market Scenarios'!$D$28))/'03 Market Scenarios'!$D$21)/'06 Escondida Economics'!$D$15/(($C29-'03 Market Scenarios'!$D$20)*(1-'03 Market Scenarios'!$D$18))*1000</x:f>
        <x:v>172.1046612477289</x:v>
      </x:c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8" customHeight="1">
      <x:c r="C33" s="9" t="str">
        <x:v>Additional screen sensitivity</x:v>
      </x:c>
      <x:c r="D33" s="10" t="str">
        <x:v>Required ktpa</x:v>
      </x:c>
      <x:c r="E33" s="10" t="str">
        <x:v>Status</x:v>
      </x:c>
      <x:c r="F33" s="4" t="str">
        <x:v>Rate</x:v>
      </x:c>
      <x:c r="G33" s="4" t="str">
        <x:v>Benefit years</x:v>
      </x:c>
      <x:c r="H33" s="4" t="str">
        <x:v>First benefit</x:v>
      </x:c>
      <x:c r="I33" s="4" t="str">
        <x:v>Burden $/t</x:v>
      </x:c>
      <x:c r="J33" s="4" t="str">
        <x:v>Price $/t</x:v>
      </x:c>
      <x:c r="K33" s="2" t="str">
        <x:v>Capex $m</x:v>
      </x:c>
      <x:c r="L33" s="2"/>
      <x:c r="M33" s="2"/>
      <x:c r="N33" s="2"/>
    </x:row>
    <x:row r="34" ht="22" customHeight="1">
      <x:c r="C34" s="2" t="str">
        <x:v>20 years from 2032</x:v>
      </x:c>
      <x:c r="D34" s="4" t="n">
        <x:f>K34/5*((1-(1+F34)^(-5))/F34)/((1-(1+F34)^(-G34))/F34/(1+F34)^(H34-2027))/((J34-I34)*(1-'03 Market Scenarios'!$D$18))*1000</x:f>
        <x:v>198.76566490611623</x:v>
      </x:c>
      <x:c r="E34" s="4" t="str">
        <x:v>Independent illustrative inputs F:K</x:v>
      </x:c>
      <x:c r="F34" s="14" t="n">
        <x:v>0.1</x:v>
      </x:c>
      <x:c r="G34" s="17" t="n">
        <x:v>20</x:v>
      </x:c>
      <x:c r="H34" s="17" t="n">
        <x:v>2032</x:v>
      </x:c>
      <x:c r="I34" s="6" t="n">
        <x:v>4000</x:v>
      </x:c>
      <x:c r="J34" s="6" t="n">
        <x:v>10494.00368</x:v>
      </x:c>
      <x:c r="K34" s="16" t="n">
        <x:v>5850</x:v>
      </x:c>
      <x:c r="L34" s="2"/>
      <x:c r="M34" s="2"/>
      <x:c r="N34" s="2"/>
    </x:row>
    <x:row r="35" ht="22" customHeight="1">
      <x:c r="C35" s="2" t="str">
        <x:v>10 years from 2032</x:v>
      </x:c>
      <x:c r="D35" s="4" t="n">
        <x:f>K35/5*((1-(1+F35)^(-5))/F35)/((1-(1+F35)^(-G35))/F35/(1+F35)^(H35-2027))/((J35-I35)*(1-'03 Market Scenarios'!$D$18))*1000</x:f>
        <x:v>275.39843317966825</x:v>
      </x:c>
      <x:c r="E35" s="4" t="str">
        <x:v>Independent illustrative inputs F:K</x:v>
      </x:c>
      <x:c r="F35" s="14" t="n">
        <x:v>0.1</x:v>
      </x:c>
      <x:c r="G35" s="17" t="n">
        <x:v>10</x:v>
      </x:c>
      <x:c r="H35" s="17" t="n">
        <x:v>2032</x:v>
      </x:c>
      <x:c r="I35" s="6" t="n">
        <x:v>4000</x:v>
      </x:c>
      <x:c r="J35" s="6" t="n">
        <x:v>10494.00368</x:v>
      </x:c>
      <x:c r="K35" s="16" t="n">
        <x:v>5850</x:v>
      </x:c>
      <x:c r="L35" s="2"/>
      <x:c r="M35" s="2"/>
      <x:c r="N35" s="2"/>
    </x:row>
    <x:row r="36" ht="22" customHeight="1">
      <x:c r="C36" s="2" t="str">
        <x:v>10 years from 2034</x:v>
      </x:c>
      <x:c r="D36" s="4" t="n">
        <x:f>K36/5*((1-(1+F36)^(-5))/F36)/((1-(1+F36)^(-G36))/F36/(1+F36)^(H36-2027))/((J36-I36)*(1-'03 Market Scenarios'!$D$18))*1000</x:f>
        <x:v>333.2321041473987</x:v>
      </x:c>
      <x:c r="E36" s="4" t="str">
        <x:v>Independent illustrative inputs F:K</x:v>
      </x:c>
      <x:c r="F36" s="14" t="n">
        <x:v>0.1</x:v>
      </x:c>
      <x:c r="G36" s="17" t="n">
        <x:v>10</x:v>
      </x:c>
      <x:c r="H36" s="17" t="n">
        <x:v>2034</x:v>
      </x:c>
      <x:c r="I36" s="6" t="n">
        <x:v>4000</x:v>
      </x:c>
      <x:c r="J36" s="6" t="n">
        <x:v>10494.00368</x:v>
      </x:c>
      <x:c r="K36" s="16" t="n">
        <x:v>5850</x:v>
      </x:c>
      <x:c r="L36" s="2"/>
      <x:c r="M36" s="2"/>
      <x:c r="N36" s="2"/>
    </x:row>
    <x:row r="37" ht="22" customHeight="1">
      <x:c r="C37" s="2" t="str">
        <x:v>8% discount rate</x:v>
      </x:c>
      <x:c r="D37" s="4" t="n">
        <x:f>K37/5*((1-(1+F37)^(-5))/F37)/((1-(1+F37)^(-G37))/F37/(1+F37)^(H37-2027))/((J37-I37)*(1-'03 Market Scenarios'!$D$18))*1000</x:f>
        <x:v>165.62159984917497</x:v>
      </x:c>
      <x:c r="E37" s="4" t="str">
        <x:v>Independent illustrative inputs F:K</x:v>
      </x:c>
      <x:c r="F37" s="14" t="n">
        <x:v>0.08</x:v>
      </x:c>
      <x:c r="G37" s="17" t="n">
        <x:v>20</x:v>
      </x:c>
      <x:c r="H37" s="17" t="n">
        <x:v>2032</x:v>
      </x:c>
      <x:c r="I37" s="6" t="n">
        <x:v>4000</x:v>
      </x:c>
      <x:c r="J37" s="6" t="n">
        <x:v>10494.00368</x:v>
      </x:c>
      <x:c r="K37" s="16" t="n">
        <x:v>5850</x:v>
      </x:c>
      <x:c r="L37" s="2"/>
      <x:c r="M37" s="2"/>
      <x:c r="N37" s="2"/>
    </x:row>
    <x:row r="38" ht="22" customHeight="1">
      <x:c r="C38" s="2" t="str">
        <x:v>12% discount rate</x:v>
      </x:c>
      <x:c r="D38" s="4" t="n">
        <x:f>K38/5*((1-(1+F38)^(-5))/F38)/((1-(1+F38)^(-G38))/F38/(1+F38)^(H38-2027))/((J38-I38)*(1-'03 Market Scenarios'!$D$18))*1000</x:f>
        <x:v>235.74372501787118</x:v>
      </x:c>
      <x:c r="E38" s="4" t="str">
        <x:v>Independent illustrative inputs F:K</x:v>
      </x:c>
      <x:c r="F38" s="14" t="n">
        <x:v>0.12</x:v>
      </x:c>
      <x:c r="G38" s="17" t="n">
        <x:v>20</x:v>
      </x:c>
      <x:c r="H38" s="17" t="n">
        <x:v>2032</x:v>
      </x:c>
      <x:c r="I38" s="6" t="n">
        <x:v>4000</x:v>
      </x:c>
      <x:c r="J38" s="6" t="n">
        <x:v>10494.00368</x:v>
      </x:c>
      <x:c r="K38" s="16" t="n">
        <x:v>5850</x:v>
      </x:c>
      <x:c r="L38" s="2"/>
      <x:c r="M38" s="2"/>
      <x:c r="N38" s="2"/>
    </x:row>
    <x:row r="39" ht="22" customHeight="1">
      <x:c r="C39" s="2" t="str">
        <x:v>$3,000/t burden</x:v>
      </x:c>
      <x:c r="D39" s="4" t="n">
        <x:f>K39/5*((1-(1+F39)^(-5))/F39)/((1-(1+F39)^(-G39))/F39/(1+F39)^(H39-2027))/((J39-I39)*(1-'03 Market Scenarios'!$D$18))*1000</x:f>
        <x:v>172.2423706306434</x:v>
      </x:c>
      <x:c r="E39" s="4" t="str">
        <x:v>Independent illustrative inputs F:K</x:v>
      </x:c>
      <x:c r="F39" s="14" t="n">
        <x:v>0.1</x:v>
      </x:c>
      <x:c r="G39" s="17" t="n">
        <x:v>20</x:v>
      </x:c>
      <x:c r="H39" s="17" t="n">
        <x:v>2032</x:v>
      </x:c>
      <x:c r="I39" s="6" t="n">
        <x:v>3000</x:v>
      </x:c>
      <x:c r="J39" s="6" t="n">
        <x:v>10494.00368</x:v>
      </x:c>
      <x:c r="K39" s="16" t="n">
        <x:v>5850</x:v>
      </x:c>
      <x:c r="L39" s="2"/>
      <x:c r="M39" s="2"/>
      <x:c r="N39" s="2"/>
    </x:row>
    <x:row r="40" ht="22" customHeight="1">
      <x:c r="C40" s="2" t="str">
        <x:v>$5,000/t burden</x:v>
      </x:c>
      <x:c r="D40" s="4" t="n">
        <x:f>K40/5*((1-(1+F40)^(-5))/F40)/((1-(1+F40)^(-G40))/F40/(1+F40)^(H40-2027))/((J40-I40)*(1-'03 Market Scenarios'!$D$18))*1000</x:f>
        <x:v>234.9443201242933</x:v>
      </x:c>
      <x:c r="E40" s="4" t="str">
        <x:v>Independent illustrative inputs F:K</x:v>
      </x:c>
      <x:c r="F40" s="14" t="n">
        <x:v>0.1</x:v>
      </x:c>
      <x:c r="G40" s="17" t="n">
        <x:v>20</x:v>
      </x:c>
      <x:c r="H40" s="17" t="n">
        <x:v>2032</x:v>
      </x:c>
      <x:c r="I40" s="6" t="n">
        <x:v>5000</x:v>
      </x:c>
      <x:c r="J40" s="6" t="n">
        <x:v>10494.00368</x:v>
      </x:c>
      <x:c r="K40" s="16" t="n">
        <x:v>5850</x:v>
      </x:c>
      <x:c r="L40" s="2"/>
      <x:c r="M40" s="2"/>
      <x:c r="N40" s="2"/>
    </x:row>
    <x:row r="41" ht="22" customHeight="1">
      <x:c r="C41" s="2" t="str">
        <x:v>Combined stress</x:v>
      </x:c>
      <x:c r="D41" s="4" t="n">
        <x:f>K41/5*((1-(1+F41)^(-5))/F41)/((1-(1+F41)^(-G41))/F41/(1+F41)^(H41-2027))/((J41-I41)*(1-'03 Market Scenarios'!$D$18))*1000</x:f>
        <x:v>416.49328021950373</x:v>
      </x:c>
      <x:c r="E41" s="4" t="str">
        <x:v>Independent illustrative inputs F:K</x:v>
      </x:c>
      <x:c r="F41" s="14" t="n">
        <x:v>0.1</x:v>
      </x:c>
      <x:c r="G41" s="17" t="n">
        <x:v>20</x:v>
      </x:c>
      <x:c r="H41" s="17" t="n">
        <x:v>2034</x:v>
      </x:c>
      <x:c r="I41" s="6" t="n">
        <x:v>4000</x:v>
      </x:c>
      <x:c r="J41" s="6" t="n">
        <x:v>8500</x:v>
      </x:c>
      <x:c r="K41" s="16" t="n">
        <x:v>7020</x:v>
      </x:c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Decision Dashboard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Research output</x:v>
      </x:c>
      <x:c r="D5" s="10" t="str">
        <x:v>Value</x:v>
      </x:c>
      <x:c r="E5" s="10" t="str">
        <x:v>Interpretation</x:v>
      </x:c>
      <x:c r="F5" s="4"/>
      <x:c r="G5" s="4"/>
      <x:c r="H5" s="4"/>
      <x:c r="I5" s="4"/>
      <x:c r="J5" s="4"/>
      <x:c r="K5" s="2"/>
      <x:c r="L5" s="2"/>
      <x:c r="M5" s="2"/>
      <x:c r="N5" s="2"/>
    </x:row>
    <x:row r="6" ht="22" customHeight="1">
      <x:c r="C6" s="2" t="str">
        <x:v>GS revision, FY26-static EBITDA $m</x:v>
      </x:c>
      <x:c r="D6" s="4" t="n">
        <x:f>'04 Operating Sensitivity'!D45</x:f>
        <x:v>2830.4163887999694</x:v>
      </x:c>
      <x:c r="E6" s="4" t="str">
        <x:v>Illustration, not 2027 forecast or FCF</x:v>
      </x:c>
      <x:c r="F6" s="4"/>
      <x:c r="G6" s="4"/>
      <x:c r="H6" s="4"/>
      <x:c r="I6" s="4"/>
      <x:c r="J6" s="4"/>
      <x:c r="K6" s="2"/>
      <x:c r="L6" s="2"/>
      <x:c r="M6" s="2"/>
      <x:c r="N6" s="2"/>
    </x:row>
    <x:row r="7" ht="22" customHeight="1">
      <x:c r="C7" s="2" t="str">
        <x:v>GS-WorldBank static EBITDA spread $m</x:v>
      </x:c>
      <x:c r="D7" s="4" t="n">
        <x:f>'04 Operating Sensitivity'!D46</x:f>
        <x:v>4245.624583199954</x:v>
      </x:c>
      <x:c r="E7" s="4" t="str">
        <x:v>Same FY26 scope; distinct external forecasts</x:v>
      </x:c>
      <x:c r="F7" s="4"/>
      <x:c r="G7" s="4"/>
      <x:c r="H7" s="4"/>
      <x:c r="I7" s="4"/>
      <x:c r="J7" s="4"/>
      <x:c r="K7" s="2"/>
      <x:c r="L7" s="2"/>
      <x:c r="M7" s="2"/>
      <x:c r="N7" s="2"/>
    </x:row>
    <x:row r="8" ht="22" customHeight="1">
      <x:c r="C8" s="2" t="str">
        <x:v>Selected price, static EBITDA delta $m</x:v>
      </x:c>
      <x:c r="D8" s="4" t="n">
        <x:f>'04 Operating Sensitivity'!D44</x:f>
        <x:v>-1415.2081943999847</x:v>
      </x:c>
      <x:c r="E8" s="4" t="str">
        <x:v>Relative to prior GS $13,800/t</x:v>
      </x:c>
      <x:c r="F8" s="4"/>
      <x:c r="G8" s="4"/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Gross project capital $m</x:v>
      </x:c>
      <x:c r="D9" s="4" t="n">
        <x:f>'06 Escondida Economics'!D6</x:f>
        <x:v>5850</x:v>
      </x:c>
      <x:c r="E9" s="4" t="str">
        <x:v>Nominal scenario budget</x:v>
      </x:c>
      <x:c r="F9" s="4"/>
      <x:c r="G9" s="4"/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BHP pro rata capital $m</x:v>
      </x:c>
      <x:c r="D10" s="4" t="n">
        <x:f>'06 Escondida Economics'!D7</x:f>
        <x:v>3363.7499999999995</x:v>
      </x:c>
      <x:c r="E10" s="4" t="str">
        <x:v>Economic illustration, not funding commitment</x:v>
      </x:c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Illustrative production hurdle ktpa</x:v>
      </x:c>
      <x:c r="D11" s="4" t="n">
        <x:f>'06 Escondida Economics'!D17</x:f>
        <x:v>198.7656649061074</x:v>
      </x:c>
      <x:c r="E11" s="4" t="str">
        <x:v>Assumed life, margin and spending; not actual benefit</x:v>
      </x:c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 t="str">
        <x:v>Long-term screen price $/t</x:v>
      </x:c>
      <x:c r="D12" s="4" t="n">
        <x:f>'06 Escondida Economics'!D8</x:f>
        <x:v>10494.003680000287</x:v>
      </x:c>
      <x:c r="E12" s="4" t="str">
        <x:v>Independent of near-term price selector</x:v>
      </x:c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 t="str">
        <x:v>FY26 reported free cash flow $m</x:v>
      </x:c>
      <x:c r="D13" s="4" t="n">
        <x:f>'07 Funding Capacity'!D8</x:f>
        <x:v>9767</x:v>
      </x:c>
      <x:c r="E13" s="4" t="str">
        <x:v>Historical; after investing flows</x:v>
      </x:c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32" customHeight="1">
      <x:c r="C14" s="2" t="str">
        <x:v>Conditional recommendation</x:v>
      </x:c>
      <x:c r="D14" s="11" t="str">
        <x:v>Maintain readiness</x:v>
      </x:c>
      <x:c r="E14" s="4" t="str">
        <x:v>Do not rank construction options without counterfactual</x:v>
      </x:c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/>
      <x:c r="D15" s="4"/>
      <x:c r="E15" s="4"/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/>
      <x:c r="D16" s="4"/>
      <x:c r="E16" s="4"/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Primary result: copper prices change earnings exposure; replacement economics determine sanction.</x:v>
      </x:c>
      <x:c r="D17" s="4"/>
      <x:c r="E17" s="4"/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Prototype $0.14bn / ($1.65bn) funding outcomes retired from decision use.</x:v>
      </x:c>
      <x:c r="D18" s="4"/>
      <x:c r="E18" s="4"/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 t="str">
        <x:v>199ktpa becomes 333ktpa with 10 benefit years starting 2034; see 08 rows34-42.</x:v>
      </x:c>
      <x:c r="D19" s="4"/>
      <x:c r="E19" s="4"/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/>
      <x:c r="D20" s="4"/>
      <x:c r="E20" s="4"/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/>
      <x:c r="D21" s="4"/>
      <x:c r="E21" s="4"/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/>
      <x:c r="D22" s="4"/>
      <x:c r="E22" s="4"/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/>
      <x:c r="D23" s="4"/>
      <x:c r="E23" s="4"/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/>
      <x:c r="D24" s="4"/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/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/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/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6" hidden="0" customWidth="1"/>
    <x:col min="4" max="4" width="17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22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C2" s="3" t="str">
        <x:v>SMPT FI002 / Model Validation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C3" s="2" t="str">
        <x:v>Selected case</x:v>
      </x:c>
      <x:c r="D3" s="2" t="str">
        <x:f>'00 Model Guide'!D6</x:f>
        <x:v>Base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C5" s="9" t="str">
        <x:v>Check</x:v>
      </x:c>
      <x:c r="D5" s="10" t="str">
        <x:v>Difference / result</x:v>
      </x:c>
      <x:c r="E5" s="10" t="str">
        <x:v>Expected</x:v>
      </x:c>
      <x:c r="F5" s="4"/>
      <x:c r="G5" s="4"/>
      <x:c r="H5" s="4"/>
      <x:c r="I5" s="4"/>
      <x:c r="J5" s="4"/>
      <x:c r="K5" s="2"/>
      <x:c r="L5" s="2"/>
      <x:c r="M5" s="2"/>
      <x:c r="N5" s="2"/>
    </x:row>
    <x:row r="6" ht="22" customHeight="1">
      <x:c r="C6" s="2" t="str">
        <x:v>Historical FCF reconciliation</x:v>
      </x:c>
      <x:c r="D6" s="18" t="n">
        <x:f>'02 Historical Financials'!E13+'02 Historical Financials'!E14-'02 Historical Financials'!E15</x:f>
        <x:v>0</x:v>
      </x:c>
      <x:c r="E6" s="18" t="n">
        <x:v>0</x:v>
      </x:c>
      <x:c r="F6" s="4"/>
      <x:c r="G6" s="4"/>
      <x:c r="H6" s="4"/>
      <x:c r="I6" s="4"/>
      <x:c r="J6" s="4"/>
      <x:c r="K6" s="2"/>
      <x:c r="L6" s="2"/>
      <x:c r="M6" s="2"/>
      <x:c r="N6" s="2"/>
    </x:row>
    <x:row r="7" ht="22" customHeight="1">
      <x:c r="C7" s="2" t="str">
        <x:v>FY27 capex split less guidance</x:v>
      </x:c>
      <x:c r="D7" s="18" t="n">
        <x:f>'05 Capital Expenditure'!D11-'03 Market Scenarios'!D31</x:f>
        <x:v>0</x:v>
      </x:c>
      <x:c r="E7" s="18" t="n">
        <x:v>0</x:v>
      </x:c>
      <x:c r="F7" s="4"/>
      <x:c r="G7" s="4"/>
      <x:c r="H7" s="4"/>
      <x:c r="I7" s="4"/>
      <x:c r="J7" s="4"/>
      <x:c r="K7" s="2"/>
      <x:c r="L7" s="2"/>
      <x:c r="M7" s="2"/>
      <x:c r="N7" s="2"/>
    </x:row>
    <x:row r="8" ht="22" customHeight="1">
      <x:c r="C8" s="2" t="str">
        <x:v>Base scenario vs independent expected ktpa</x:v>
      </x:c>
      <x:c r="D8" s="18" t="n">
        <x:f>'08 Scenarios and Decisions'!H6-198.76566490610745</x:f>
        <x:v>-5.684341886080802e-14</x:v>
      </x:c>
      <x:c r="E8" s="18" t="n">
        <x:v>0</x:v>
      </x:c>
      <x:c r="F8" s="4"/>
      <x:c r="G8" s="4"/>
      <x:c r="H8" s="4"/>
      <x:c r="I8" s="4"/>
      <x:c r="J8" s="4"/>
      <x:c r="K8" s="2"/>
      <x:c r="L8" s="2"/>
      <x:c r="M8" s="2"/>
      <x:c r="N8" s="2"/>
    </x:row>
    <x:row r="9" ht="22" customHeight="1">
      <x:c r="C9" s="2" t="str">
        <x:v>Active total capex schedule vs budget</x:v>
      </x:c>
      <x:c r="D9" s="18" t="n">
        <x:f>SUM('06 Escondida Economics'!E31:E60)-'06 Escondida Economics'!D6</x:f>
        <x:v>0</x:v>
      </x:c>
      <x:c r="E9" s="18" t="n">
        <x:v>0</x:v>
      </x:c>
      <x:c r="F9" s="4"/>
      <x:c r="G9" s="4"/>
      <x:c r="H9" s="4"/>
      <x:c r="I9" s="4"/>
      <x:c r="J9" s="4"/>
      <x:c r="K9" s="2"/>
      <x:c r="L9" s="2"/>
      <x:c r="M9" s="2"/>
      <x:c r="N9" s="2"/>
    </x:row>
    <x:row r="10" ht="22" customHeight="1">
      <x:c r="C10" s="2" t="str">
        <x:v>BHP capex economic ownership</x:v>
      </x:c>
      <x:c r="D10" s="18" t="n">
        <x:f>'06 Escondida Economics'!D7-'06 Escondida Economics'!D6*'03 Market Scenarios'!D26</x:f>
        <x:v>0</x:v>
      </x:c>
      <x:c r="E10" s="18" t="n">
        <x:v>0</x:v>
      </x:c>
      <x:c r="F10" s="4"/>
      <x:c r="G10" s="4"/>
      <x:c r="H10" s="4"/>
      <x:c r="I10" s="4"/>
      <x:c r="J10" s="4"/>
      <x:c r="K10" s="2"/>
      <x:c r="L10" s="2"/>
      <x:c r="M10" s="2"/>
      <x:c r="N10" s="2"/>
    </x:row>
    <x:row r="11" ht="22" customHeight="1">
      <x:c r="C11" s="2" t="str">
        <x:v>Production guidance sum less aggregate midpoint</x:v>
      </x:c>
      <x:c r="D11" s="18" t="n">
        <x:f>'04 Operating Sensitivity'!D34</x:f>
        <x:v>-20</x:v>
      </x:c>
      <x:c r="E11" s="18" t="n">
        <x:v>-20</x:v>
      </x:c>
      <x:c r="F11" s="4"/>
      <x:c r="G11" s="4"/>
      <x:c r="H11" s="4"/>
      <x:c r="I11" s="4"/>
      <x:c r="J11" s="4"/>
      <x:c r="K11" s="2"/>
      <x:c r="L11" s="2"/>
      <x:c r="M11" s="2"/>
      <x:c r="N11" s="2"/>
    </x:row>
    <x:row r="12" ht="22" customHeight="1">
      <x:c r="C12" s="2" t="str">
        <x:v>GS isolated gross exposure vs independent</x:v>
      </x:c>
      <x:c r="D12" s="18" t="n">
        <x:f>'04 Operating Sensitivity'!D27-2394</x:f>
        <x:v>0</x:v>
      </x:c>
      <x:c r="E12" s="18" t="n">
        <x:v>0</x:v>
      </x:c>
      <x:c r="F12" s="4"/>
      <x:c r="G12" s="4"/>
      <x:c r="H12" s="4"/>
      <x:c r="I12" s="4"/>
      <x:c r="J12" s="4"/>
      <x:c r="K12" s="2"/>
      <x:c r="L12" s="2"/>
      <x:c r="M12" s="2"/>
      <x:c r="N12" s="2"/>
    </x:row>
    <x:row r="13" ht="22" customHeight="1">
      <x:c r="C13" s="2" t="str">
        <x:v>Copper share excluding G&amp;U</x:v>
      </x:c>
      <x:c r="D13" s="13" t="n">
        <x:f>'02 Historical Financials'!E30</x:f>
        <x:v>0.5421187552164063</x:v>
      </x:c>
      <x:c r="E13" s="13" t="n">
        <x:v>0.5421187552164063</x:v>
      </x:c>
      <x:c r="F13" s="4"/>
      <x:c r="G13" s="4"/>
      <x:c r="H13" s="4"/>
      <x:c r="I13" s="4"/>
      <x:c r="J13" s="4"/>
      <x:c r="K13" s="2"/>
      <x:c r="L13" s="2"/>
      <x:c r="M13" s="2"/>
      <x:c r="N13" s="2"/>
    </x:row>
    <x:row r="14" ht="22" customHeight="1">
      <x:c r="C14" s="2" t="str">
        <x:v>Copper share of total EBITDA</x:v>
      </x:c>
      <x:c r="D14" s="13" t="n">
        <x:f>'02 Historical Financials'!E31</x:f>
        <x:v>0.5520077700549367</x:v>
      </x:c>
      <x:c r="E14" s="13" t="n">
        <x:v>0.5520077700549367</x:v>
      </x:c>
      <x:c r="F14" s="4"/>
      <x:c r="G14" s="4"/>
      <x:c r="H14" s="4"/>
      <x:c r="I14" s="4"/>
      <x:c r="J14" s="4"/>
      <x:c r="K14" s="2"/>
      <x:c r="L14" s="2"/>
      <x:c r="M14" s="2"/>
      <x:c r="N14" s="2"/>
    </x:row>
    <x:row r="15" ht="22" customHeight="1">
      <x:c r="C15" s="2" t="str">
        <x:v>Active price exceeds project burden</x:v>
      </x:c>
      <x:c r="D15" s="4" t="str">
        <x:f>IF('06 Escondida Economics'!D8&gt;'06 Escondida Economics'!D9,"VALID","INVALID")</x:f>
        <x:v>VALID</x:v>
      </x:c>
      <x:c r="E15" s="4" t="str">
        <x:v>VALID</x:v>
      </x:c>
      <x:c r="F15" s="4"/>
      <x:c r="G15" s="4"/>
      <x:c r="H15" s="4"/>
      <x:c r="I15" s="4"/>
      <x:c r="J15" s="4"/>
      <x:c r="K15" s="2"/>
      <x:c r="L15" s="2"/>
      <x:c r="M15" s="2"/>
      <x:c r="N15" s="2"/>
    </x:row>
    <x:row r="16" ht="22" customHeight="1">
      <x:c r="C16" s="2" t="str">
        <x:v>Counterfactual production and full cash flows</x:v>
      </x:c>
      <x:c r="D16" s="4" t="str">
        <x:v>MISSING</x:v>
      </x:c>
      <x:c r="E16" s="4" t="str">
        <x:v>Required before valuation</x:v>
      </x:c>
      <x:c r="F16" s="4"/>
      <x:c r="G16" s="4"/>
      <x:c r="H16" s="4"/>
      <x:c r="I16" s="4"/>
      <x:c r="J16" s="4"/>
      <x:c r="K16" s="2"/>
      <x:c r="L16" s="2"/>
      <x:c r="M16" s="2"/>
      <x:c r="N16" s="2"/>
    </x:row>
    <x:row r="17" ht="22" customHeight="1">
      <x:c r="C17" s="2" t="str">
        <x:v>Original GS research</x:v>
      </x:c>
      <x:c r="D17" s="4" t="str">
        <x:v>NOT OBTAINED</x:v>
      </x:c>
      <x:c r="E17" s="4" t="str">
        <x:v>Secondary attribution retained</x:v>
      </x:c>
      <x:c r="F17" s="4"/>
      <x:c r="G17" s="4"/>
      <x:c r="H17" s="4"/>
      <x:c r="I17" s="4"/>
      <x:c r="J17" s="4"/>
      <x:c r="K17" s="2"/>
      <x:c r="L17" s="2"/>
      <x:c r="M17" s="2"/>
      <x:c r="N17" s="2"/>
    </x:row>
    <x:row r="18" ht="22" customHeight="1">
      <x:c r="C18" s="2" t="str">
        <x:v>Full 20-F main document</x:v>
      </x:c>
      <x:c r="D18" s="4" t="str">
        <x:v>NOT RETRIEVED</x:v>
      </x:c>
      <x:c r="E18" s="4" t="str">
        <x:v>Annual-report sections used</x:v>
      </x:c>
      <x:c r="F18" s="4"/>
      <x:c r="G18" s="4"/>
      <x:c r="H18" s="4"/>
      <x:c r="I18" s="4"/>
      <x:c r="J18" s="4"/>
      <x:c r="K18" s="2"/>
      <x:c r="L18" s="2"/>
      <x:c r="M18" s="2"/>
      <x:c r="N18" s="2"/>
    </x:row>
    <x:row r="19" ht="22" customHeight="1">
      <x:c r="C19" s="2"/>
      <x:c r="D19" s="4"/>
      <x:c r="E19" s="4"/>
      <x:c r="F19" s="4"/>
      <x:c r="G19" s="4"/>
      <x:c r="H19" s="4"/>
      <x:c r="I19" s="4"/>
      <x:c r="J19" s="4"/>
      <x:c r="K19" s="2"/>
      <x:c r="L19" s="2"/>
      <x:c r="M19" s="2"/>
      <x:c r="N19" s="2"/>
    </x:row>
    <x:row r="20" ht="22" customHeight="1">
      <x:c r="C20" s="2" t="str">
        <x:v>Operating benefit horizon covers all years</x:v>
      </x:c>
      <x:c r="D20" s="4" t="str">
        <x:f>IF('06 Escondida Economics'!D13+'06 Escondida Economics'!D12-1&lt;=2056,"VALID","EXTEND SCHEDULE")</x:f>
        <x:v>VALID</x:v>
      </x:c>
      <x:c r="E20" s="4"/>
      <x:c r="F20" s="4"/>
      <x:c r="G20" s="4"/>
      <x:c r="H20" s="4"/>
      <x:c r="I20" s="4"/>
      <x:c r="J20" s="4"/>
      <x:c r="K20" s="2"/>
      <x:c r="L20" s="2"/>
      <x:c r="M20" s="2"/>
      <x:c r="N20" s="2"/>
    </x:row>
    <x:row r="21" ht="22" customHeight="1">
      <x:c r="C21" s="2" t="str">
        <x:v>Nominal discount rate above zero</x:v>
      </x:c>
      <x:c r="D21" s="4" t="str">
        <x:f>IF('03 Market Scenarios'!D21&gt;0,"VALID","INVALID")</x:f>
        <x:v>VALID</x:v>
      </x:c>
      <x:c r="E21" s="4"/>
      <x:c r="F21" s="4"/>
      <x:c r="G21" s="4"/>
      <x:c r="H21" s="4"/>
      <x:c r="I21" s="4"/>
      <x:c r="J21" s="4"/>
      <x:c r="K21" s="2"/>
      <x:c r="L21" s="2"/>
      <x:c r="M21" s="2"/>
      <x:c r="N21" s="2"/>
    </x:row>
    <x:row r="22" ht="22" customHeight="1">
      <x:c r="C22" s="2" t="str">
        <x:v>Disclosed FY26 static GS revision</x:v>
      </x:c>
      <x:c r="D22" s="4" t="n">
        <x:f>'04 Operating Sensitivity'!D45-2830.4163887999694</x:f>
        <x:v>0</x:v>
      </x:c>
      <x:c r="E22" s="4" t="n">
        <x:v>0</x:v>
      </x:c>
      <x:c r="F22" s="4"/>
      <x:c r="G22" s="4"/>
      <x:c r="H22" s="4"/>
      <x:c r="I22" s="4"/>
      <x:c r="J22" s="4"/>
      <x:c r="K22" s="2"/>
      <x:c r="L22" s="2"/>
      <x:c r="M22" s="2"/>
      <x:c r="N22" s="2"/>
    </x:row>
    <x:row r="23" ht="22" customHeight="1">
      <x:c r="C23" s="2" t="str">
        <x:v>Funding evidence map FCF</x:v>
      </x:c>
      <x:c r="D23" s="4" t="n">
        <x:f>'07 Funding Capacity'!D8-'02 Historical Financials'!E15</x:f>
        <x:v>0</x:v>
      </x:c>
      <x:c r="E23" s="4" t="n">
        <x:v>0</x:v>
      </x:c>
      <x:c r="F23" s="4"/>
      <x:c r="G23" s="4"/>
      <x:c r="H23" s="4"/>
      <x:c r="I23" s="4"/>
      <x:c r="J23" s="4"/>
      <x:c r="K23" s="2"/>
      <x:c r="L23" s="2"/>
      <x:c r="M23" s="2"/>
      <x:c r="N23" s="2"/>
    </x:row>
    <x:row r="24" ht="22" customHeight="1">
      <x:c r="C24" s="2"/>
      <x:c r="D24" s="4"/>
      <x:c r="E24" s="4"/>
      <x:c r="F24" s="4"/>
      <x:c r="G24" s="4"/>
      <x:c r="H24" s="4"/>
      <x:c r="I24" s="4"/>
      <x:c r="J24" s="4"/>
      <x:c r="K24" s="2"/>
      <x:c r="L24" s="2"/>
      <x:c r="M24" s="2"/>
      <x:c r="N24" s="2"/>
    </x:row>
    <x:row r="25" ht="22" customHeight="1">
      <x:c r="C25" s="2"/>
      <x:c r="D25" s="4"/>
      <x:c r="E25" s="4"/>
      <x:c r="F25" s="4"/>
      <x:c r="G25" s="4"/>
      <x:c r="H25" s="4"/>
      <x:c r="I25" s="4"/>
      <x:c r="J25" s="4"/>
      <x:c r="K25" s="2"/>
      <x:c r="L25" s="2"/>
      <x:c r="M25" s="2"/>
      <x:c r="N25" s="2"/>
    </x:row>
    <x:row r="26" ht="22" customHeight="1">
      <x:c r="C26" s="2"/>
      <x:c r="D26" s="4"/>
      <x:c r="E26" s="4"/>
      <x:c r="F26" s="4"/>
      <x:c r="G26" s="4"/>
      <x:c r="H26" s="4"/>
      <x:c r="I26" s="4"/>
      <x:c r="J26" s="4"/>
      <x:c r="K26" s="2"/>
      <x:c r="L26" s="2"/>
      <x:c r="M26" s="2"/>
      <x:c r="N26" s="2"/>
    </x:row>
    <x:row r="27" ht="22" customHeight="1">
      <x:c r="C27" s="2"/>
      <x:c r="D27" s="4"/>
      <x:c r="E27" s="4"/>
      <x:c r="F27" s="4"/>
      <x:c r="G27" s="4"/>
      <x:c r="H27" s="4"/>
      <x:c r="I27" s="4"/>
      <x:c r="J27" s="4"/>
      <x:c r="K27" s="2"/>
      <x:c r="L27" s="2"/>
      <x:c r="M27" s="2"/>
      <x:c r="N27" s="2"/>
    </x:row>
    <x:row r="28" ht="22" customHeight="1">
      <x:c r="C28" s="2"/>
      <x:c r="D28" s="4"/>
      <x:c r="E28" s="4"/>
      <x:c r="F28" s="4"/>
      <x:c r="G28" s="4"/>
      <x:c r="H28" s="4"/>
      <x:c r="I28" s="4"/>
      <x:c r="J28" s="4"/>
      <x:c r="K28" s="2"/>
      <x:c r="L28" s="2"/>
      <x:c r="M28" s="2"/>
      <x:c r="N28" s="2"/>
    </x:row>
    <x:row r="29" ht="22" customHeight="1">
      <x:c r="C29" s="2"/>
      <x:c r="D29" s="4"/>
      <x:c r="E29" s="4"/>
      <x:c r="F29" s="4"/>
      <x:c r="G29" s="4"/>
      <x:c r="H29" s="4"/>
      <x:c r="I29" s="4"/>
      <x:c r="J29" s="4"/>
      <x:c r="K29" s="2"/>
      <x:c r="L29" s="2"/>
      <x:c r="M29" s="2"/>
      <x:c r="N29" s="2"/>
    </x:row>
    <x:row r="30" ht="22" customHeight="1">
      <x:c r="C30" s="2"/>
      <x:c r="D30" s="4"/>
      <x:c r="E30" s="4"/>
      <x:c r="F30" s="4"/>
      <x:c r="G30" s="4"/>
      <x:c r="H30" s="4"/>
      <x:c r="I30" s="4"/>
      <x:c r="J30" s="4"/>
      <x:c r="K30" s="2"/>
      <x:c r="L30" s="2"/>
      <x:c r="M30" s="2"/>
      <x:c r="N30" s="2"/>
    </x:row>
    <x:row r="31" ht="22" customHeight="1">
      <x:c r="C31" s="2"/>
      <x:c r="D31" s="4"/>
      <x:c r="E31" s="4"/>
      <x:c r="F31" s="4"/>
      <x:c r="G31" s="4"/>
      <x:c r="H31" s="4"/>
      <x:c r="I31" s="4"/>
      <x:c r="J31" s="4"/>
      <x:c r="K31" s="2"/>
      <x:c r="L31" s="2"/>
      <x:c r="M31" s="2"/>
      <x:c r="N31" s="2"/>
    </x:row>
    <x:row r="32" ht="22" customHeight="1">
      <x:c r="C32" s="2"/>
      <x:c r="D32" s="4"/>
      <x:c r="E32" s="4"/>
      <x:c r="F32" s="4"/>
      <x:c r="G32" s="4"/>
      <x:c r="H32" s="4"/>
      <x:c r="I32" s="4"/>
      <x:c r="J32" s="4"/>
      <x:c r="K32" s="2"/>
      <x:c r="L32" s="2"/>
      <x:c r="M32" s="2"/>
      <x:c r="N32" s="2"/>
    </x:row>
    <x:row r="33" ht="22" customHeight="1">
      <x:c r="C33" s="2"/>
      <x:c r="D33" s="4"/>
      <x:c r="E33" s="4"/>
      <x:c r="F33" s="4"/>
      <x:c r="G33" s="4"/>
      <x:c r="H33" s="4"/>
      <x:c r="I33" s="4"/>
      <x:c r="J33" s="4"/>
      <x:c r="K33" s="2"/>
      <x:c r="L33" s="2"/>
      <x:c r="M33" s="2"/>
      <x:c r="N33" s="2"/>
    </x:row>
    <x:row r="34" ht="22" customHeight="1">
      <x:c r="C34" s="2"/>
      <x:c r="D34" s="4"/>
      <x:c r="E34" s="4"/>
      <x:c r="F34" s="4"/>
      <x:c r="G34" s="4"/>
      <x:c r="H34" s="4"/>
      <x:c r="I34" s="4"/>
      <x:c r="J34" s="4"/>
      <x:c r="K34" s="2"/>
      <x:c r="L34" s="2"/>
      <x:c r="M34" s="2"/>
      <x:c r="N34" s="2"/>
    </x:row>
    <x:row r="35" ht="22" customHeight="1">
      <x:c r="C35" s="2"/>
      <x:c r="D35" s="4"/>
      <x:c r="E35" s="4"/>
      <x:c r="F35" s="4"/>
      <x:c r="G35" s="4"/>
      <x:c r="H35" s="4"/>
      <x:c r="I35" s="4"/>
      <x:c r="J35" s="4"/>
      <x:c r="K35" s="2"/>
      <x:c r="L35" s="2"/>
      <x:c r="M35" s="2"/>
      <x:c r="N35" s="2"/>
    </x:row>
    <x:row r="36" ht="22" customHeight="1">
      <x:c r="C36" s="2"/>
      <x:c r="D36" s="4"/>
      <x:c r="E36" s="4"/>
      <x:c r="F36" s="4"/>
      <x:c r="G36" s="4"/>
      <x:c r="H36" s="4"/>
      <x:c r="I36" s="4"/>
      <x:c r="J36" s="4"/>
      <x:c r="K36" s="2"/>
      <x:c r="L36" s="2"/>
      <x:c r="M36" s="2"/>
      <x:c r="N36" s="2"/>
    </x:row>
    <x:row r="37" ht="22" customHeight="1">
      <x:c r="C37" s="2"/>
      <x:c r="D37" s="4"/>
      <x:c r="E37" s="4"/>
      <x:c r="F37" s="4"/>
      <x:c r="G37" s="4"/>
      <x:c r="H37" s="4"/>
      <x:c r="I37" s="4"/>
      <x:c r="J37" s="4"/>
      <x:c r="K37" s="2"/>
      <x:c r="L37" s="2"/>
      <x:c r="M37" s="2"/>
      <x:c r="N37" s="2"/>
    </x:row>
    <x:row r="38" ht="22" customHeight="1">
      <x:c r="C38" s="2"/>
      <x:c r="D38" s="4"/>
      <x:c r="E38" s="4"/>
      <x:c r="F38" s="4"/>
      <x:c r="G38" s="4"/>
      <x:c r="H38" s="4"/>
      <x:c r="I38" s="4"/>
      <x:c r="J38" s="4"/>
      <x:c r="K38" s="2"/>
      <x:c r="L38" s="2"/>
      <x:c r="M38" s="2"/>
      <x:c r="N38" s="2"/>
    </x:row>
    <x:row r="39" ht="22" customHeight="1">
      <x:c r="C39" s="2"/>
      <x:c r="D39" s="4"/>
      <x:c r="E39" s="4"/>
      <x:c r="F39" s="4"/>
      <x:c r="G39" s="4"/>
      <x:c r="H39" s="4"/>
      <x:c r="I39" s="4"/>
      <x:c r="J39" s="4"/>
      <x:c r="K39" s="2"/>
      <x:c r="L39" s="2"/>
      <x:c r="M39" s="2"/>
      <x:c r="N39" s="2"/>
    </x:row>
    <x:row r="40" ht="22" customHeight="1">
      <x:c r="C40" s="2"/>
      <x:c r="D40" s="4"/>
      <x:c r="E40" s="4"/>
      <x:c r="F40" s="4"/>
      <x:c r="G40" s="4"/>
      <x:c r="H40" s="4"/>
      <x:c r="I40" s="4"/>
      <x:c r="J40" s="4"/>
      <x:c r="K40" s="2"/>
      <x:c r="L40" s="2"/>
      <x:c r="M40" s="2"/>
      <x:c r="N40" s="2"/>
    </x:row>
    <x:row r="41" ht="22" customHeight="1">
      <x:c r="C41" s="2"/>
      <x:c r="D41" s="4"/>
      <x:c r="E41" s="4"/>
      <x:c r="F41" s="4"/>
      <x:c r="G41" s="4"/>
      <x:c r="H41" s="4"/>
      <x:c r="I41" s="4"/>
      <x:c r="J41" s="4"/>
      <x:c r="K41" s="2"/>
      <x:c r="L41" s="2"/>
      <x:c r="M41" s="2"/>
      <x:c r="N41" s="2"/>
    </x:row>
    <x:row r="42" ht="22" customHeight="1">
      <x:c r="C42" s="2"/>
      <x:c r="D42" s="4"/>
      <x:c r="E42" s="4"/>
      <x:c r="F42" s="4"/>
      <x:c r="G42" s="4"/>
      <x:c r="H42" s="4"/>
      <x:c r="I42" s="4"/>
      <x:c r="J42" s="4"/>
      <x:c r="K42" s="2"/>
      <x:c r="L42" s="2"/>
      <x:c r="M42" s="2"/>
      <x:c r="N42" s="2"/>
    </x:row>
    <x:row r="43" ht="22" customHeight="1">
      <x:c r="C43" s="2"/>
      <x:c r="D43" s="4"/>
      <x:c r="E43" s="4"/>
      <x:c r="F43" s="4"/>
      <x:c r="G43" s="4"/>
      <x:c r="H43" s="4"/>
      <x:c r="I43" s="4"/>
      <x:c r="J43" s="4"/>
      <x:c r="K43" s="2"/>
      <x:c r="L43" s="2"/>
      <x:c r="M43" s="2"/>
      <x:c r="N43" s="2"/>
    </x:row>
    <x:row r="44" ht="22" customHeight="1">
      <x:c r="C44" s="2"/>
      <x:c r="D44" s="4"/>
      <x:c r="E44" s="4"/>
      <x:c r="F44" s="4"/>
      <x:c r="G44" s="4"/>
      <x:c r="H44" s="4"/>
      <x:c r="I44" s="4"/>
      <x:c r="J44" s="4"/>
      <x:c r="K44" s="2"/>
      <x:c r="L44" s="2"/>
      <x:c r="M44" s="2"/>
      <x:c r="N44" s="2"/>
    </x:row>
    <x:row r="45" ht="22" customHeight="1">
      <x:c r="C45" s="2"/>
      <x:c r="D45" s="4"/>
      <x:c r="E45" s="4"/>
      <x:c r="F45" s="4"/>
      <x:c r="G45" s="4"/>
      <x:c r="H45" s="4"/>
      <x:c r="I45" s="4"/>
      <x:c r="J45" s="4"/>
      <x:c r="K45" s="2"/>
      <x:c r="L45" s="2"/>
      <x:c r="M45" s="2"/>
      <x:c r="N45" s="2"/>
    </x:row>
    <x:row r="46" ht="22" customHeight="1">
      <x:c r="C46" s="2"/>
      <x:c r="D46" s="4"/>
      <x:c r="E46" s="4"/>
      <x:c r="F46" s="4"/>
      <x:c r="G46" s="4"/>
      <x:c r="H46" s="4"/>
      <x:c r="I46" s="4"/>
      <x:c r="J46" s="4"/>
      <x:c r="K46" s="2"/>
      <x:c r="L46" s="2"/>
      <x:c r="M46" s="2"/>
      <x:c r="N46" s="2"/>
    </x:row>
    <x:row r="47" ht="22" customHeight="1">
      <x:c r="C47" s="2"/>
      <x:c r="D47" s="4"/>
      <x:c r="E47" s="4"/>
      <x:c r="F47" s="4"/>
      <x:c r="G47" s="4"/>
      <x:c r="H47" s="4"/>
      <x:c r="I47" s="4"/>
      <x:c r="J47" s="4"/>
      <x:c r="K47" s="2"/>
      <x:c r="L47" s="2"/>
      <x:c r="M47" s="2"/>
      <x:c r="N47" s="2"/>
    </x:row>
    <x:row r="48" ht="22" customHeight="1">
      <x:c r="C48" s="2"/>
      <x:c r="D48" s="4"/>
      <x:c r="E48" s="4"/>
      <x:c r="F48" s="4"/>
      <x:c r="G48" s="4"/>
      <x:c r="H48" s="4"/>
      <x:c r="I48" s="4"/>
      <x:c r="J48" s="4"/>
      <x:c r="K48" s="2"/>
      <x:c r="L48" s="2"/>
      <x:c r="M48" s="2"/>
      <x:c r="N48" s="2"/>
    </x:row>
    <x:row r="49" ht="22" customHeight="1">
      <x:c r="C49" s="2"/>
      <x:c r="D49" s="4"/>
      <x:c r="E49" s="4"/>
      <x:c r="F49" s="4"/>
      <x:c r="G49" s="4"/>
      <x:c r="H49" s="4"/>
      <x:c r="I49" s="4"/>
      <x:c r="J49" s="4"/>
      <x:c r="K49" s="2"/>
      <x:c r="L49" s="2"/>
      <x:c r="M49" s="2"/>
      <x:c r="N49" s="2"/>
    </x:row>
    <x:row r="50" ht="22" customHeight="1">
      <x:c r="C50" s="2"/>
      <x:c r="D50" s="4"/>
      <x:c r="E50" s="4"/>
      <x:c r="F50" s="4"/>
      <x:c r="G50" s="4"/>
      <x:c r="H50" s="4"/>
      <x:c r="I50" s="4"/>
      <x:c r="J50" s="4"/>
      <x:c r="K50" s="2"/>
      <x:c r="L50" s="2"/>
      <x:c r="M50" s="2"/>
      <x:c r="N50" s="2"/>
    </x:row>
    <x:row r="51" ht="22" customHeight="1">
      <x:c r="C51" s="2"/>
      <x:c r="D51" s="4"/>
      <x:c r="E51" s="4"/>
      <x:c r="F51" s="4"/>
      <x:c r="G51" s="4"/>
      <x:c r="H51" s="4"/>
      <x:c r="I51" s="4"/>
      <x:c r="J51" s="4"/>
      <x:c r="K51" s="2"/>
      <x:c r="L51" s="2"/>
      <x:c r="M51" s="2"/>
      <x:c r="N51" s="2"/>
    </x:row>
    <x:row r="52" ht="22" customHeight="1">
      <x:c r="C52" s="2"/>
      <x:c r="D52" s="4"/>
      <x:c r="E52" s="4"/>
      <x:c r="F52" s="4"/>
      <x:c r="G52" s="4"/>
      <x:c r="H52" s="4"/>
      <x:c r="I52" s="4"/>
      <x:c r="J52" s="4"/>
      <x:c r="K52" s="2"/>
      <x:c r="L52" s="2"/>
      <x:c r="M52" s="2"/>
      <x:c r="N52" s="2"/>
    </x:row>
    <x:row r="53" ht="22" customHeight="1">
      <x:c r="C53" s="2"/>
      <x:c r="D53" s="4"/>
      <x:c r="E53" s="4"/>
      <x:c r="F53" s="4"/>
      <x:c r="G53" s="4"/>
      <x:c r="H53" s="4"/>
      <x:c r="I53" s="4"/>
      <x:c r="J53" s="4"/>
      <x:c r="K53" s="2"/>
      <x:c r="L53" s="2"/>
      <x:c r="M53" s="2"/>
      <x:c r="N53" s="2"/>
    </x:row>
    <x:row r="54" ht="22" customHeight="1">
      <x:c r="C54" s="2"/>
      <x:c r="D54" s="4"/>
      <x:c r="E54" s="4"/>
      <x:c r="F54" s="4"/>
      <x:c r="G54" s="4"/>
      <x:c r="H54" s="4"/>
      <x:c r="I54" s="4"/>
      <x:c r="J54" s="4"/>
      <x:c r="K54" s="2"/>
      <x:c r="L54" s="2"/>
      <x:c r="M54" s="2"/>
      <x:c r="N54" s="2"/>
    </x:row>
    <x:row r="55" ht="22" customHeight="1">
      <x:c r="C55" s="2"/>
      <x:c r="D55" s="4"/>
      <x:c r="E55" s="4"/>
      <x:c r="F55" s="4"/>
      <x:c r="G55" s="4"/>
      <x:c r="H55" s="4"/>
      <x:c r="I55" s="4"/>
      <x:c r="J55" s="4"/>
      <x:c r="K55" s="2"/>
      <x:c r="L55" s="2"/>
      <x:c r="M55" s="2"/>
      <x:c r="N55" s="2"/>
    </x:row>
    <x:row r="56" ht="22" customHeight="1">
      <x:c r="C56" s="2"/>
      <x:c r="D56" s="4"/>
      <x:c r="E56" s="4"/>
      <x:c r="F56" s="4"/>
      <x:c r="G56" s="4"/>
      <x:c r="H56" s="4"/>
      <x:c r="I56" s="4"/>
      <x:c r="J56" s="4"/>
      <x:c r="K56" s="2"/>
      <x:c r="L56" s="2"/>
      <x:c r="M56" s="2"/>
      <x:c r="N56" s="2"/>
    </x:row>
    <x:row r="57" ht="22" customHeight="1">
      <x:c r="C57" s="2"/>
      <x:c r="D57" s="4"/>
      <x:c r="E57" s="4"/>
      <x:c r="F57" s="4"/>
      <x:c r="G57" s="4"/>
      <x:c r="H57" s="4"/>
      <x:c r="I57" s="4"/>
      <x:c r="J57" s="4"/>
      <x:c r="K57" s="2"/>
      <x:c r="L57" s="2"/>
      <x:c r="M57" s="2"/>
      <x:c r="N57" s="2"/>
    </x:row>
    <x:row r="58" ht="22" customHeight="1">
      <x:c r="C58" s="2"/>
      <x:c r="D58" s="4"/>
      <x:c r="E58" s="4"/>
      <x:c r="F58" s="4"/>
      <x:c r="G58" s="4"/>
      <x:c r="H58" s="4"/>
      <x:c r="I58" s="4"/>
      <x:c r="J58" s="4"/>
      <x:c r="K58" s="2"/>
      <x:c r="L58" s="2"/>
      <x:c r="M58" s="2"/>
      <x:c r="N58" s="2"/>
    </x:row>
    <x:row r="59" ht="22" customHeight="1">
      <x:c r="C59" s="2"/>
      <x:c r="D59" s="4"/>
      <x:c r="E59" s="4"/>
      <x:c r="F59" s="4"/>
      <x:c r="G59" s="4"/>
      <x:c r="H59" s="4"/>
      <x:c r="I59" s="4"/>
      <x:c r="J59" s="4"/>
      <x:c r="K59" s="2"/>
      <x:c r="L59" s="2"/>
      <x:c r="M59" s="2"/>
      <x:c r="N59" s="2"/>
    </x:row>
    <x:row r="60" ht="22" customHeight="1">
      <x:c r="C60" s="2"/>
      <x:c r="D60" s="4"/>
      <x:c r="E60" s="4"/>
      <x:c r="F60" s="4"/>
      <x:c r="G60" s="4"/>
      <x:c r="H60" s="4"/>
      <x:c r="I60" s="4"/>
      <x:c r="J60" s="4"/>
      <x:c r="K60" s="2"/>
      <x:c r="L60" s="2"/>
      <x:c r="M60" s="2"/>
      <x:c r="N60" s="2"/>
    </x:row>
    <x:row r="61" ht="22" customHeight="1">
      <x:c r="C61" s="2"/>
      <x:c r="D61" s="4"/>
      <x:c r="E61" s="4"/>
      <x:c r="F61" s="4"/>
      <x:c r="G61" s="4"/>
      <x:c r="H61" s="4"/>
      <x:c r="I61" s="4"/>
      <x:c r="J61" s="4"/>
      <x:c r="K61" s="2"/>
      <x:c r="L61" s="2"/>
      <x:c r="M61" s="2"/>
      <x:c r="N61" s="2"/>
    </x:row>
    <x:row r="62" ht="22" customHeight="1">
      <x:c r="C62" s="2"/>
      <x:c r="D62" s="4"/>
      <x:c r="E62" s="4"/>
      <x:c r="F62" s="4"/>
      <x:c r="G62" s="4"/>
      <x:c r="H62" s="4"/>
      <x:c r="I62" s="4"/>
      <x:c r="J62" s="4"/>
      <x:c r="K62" s="2"/>
      <x:c r="L62" s="2"/>
      <x:c r="M62" s="2"/>
      <x:c r="N62" s="2"/>
    </x:row>
    <x:row r="63" ht="22" customHeight="1">
      <x:c r="C63" s="2"/>
      <x:c r="D63" s="4"/>
      <x:c r="E63" s="4"/>
      <x:c r="F63" s="4"/>
      <x:c r="G63" s="4"/>
      <x:c r="H63" s="4"/>
      <x:c r="I63" s="4"/>
      <x:c r="J63" s="4"/>
      <x:c r="K63" s="2"/>
      <x:c r="L63" s="2"/>
      <x:c r="M63" s="2"/>
      <x:c r="N63" s="2"/>
    </x:row>
    <x:row r="64" ht="22" customHeight="1">
      <x:c r="C64" s="2"/>
      <x:c r="D64" s="4"/>
      <x:c r="E64" s="4"/>
      <x:c r="F64" s="4"/>
      <x:c r="G64" s="4"/>
      <x:c r="H64" s="4"/>
      <x:c r="I64" s="4"/>
      <x:c r="J64" s="4"/>
      <x:c r="K64" s="2"/>
      <x:c r="L64" s="2"/>
      <x:c r="M64" s="2"/>
      <x:c r="N64" s="2"/>
    </x:row>
    <x:row r="65" ht="22" customHeight="1">
      <x:c r="C65" s="2"/>
      <x:c r="D65" s="4"/>
      <x:c r="E65" s="4"/>
      <x:c r="F65" s="4"/>
      <x:c r="G65" s="4"/>
      <x:c r="H65" s="4"/>
      <x:c r="I65" s="4"/>
      <x:c r="J65" s="4"/>
      <x:c r="K65" s="2"/>
      <x:c r="L65" s="2"/>
      <x:c r="M65" s="2"/>
      <x:c r="N65" s="2"/>
    </x:row>
    <x:row r="66" ht="22" customHeight="1">
      <x:c r="C66" s="2"/>
      <x:c r="D66" s="4"/>
      <x:c r="E66" s="4"/>
      <x:c r="F66" s="4"/>
      <x:c r="G66" s="4"/>
      <x:c r="H66" s="4"/>
      <x:c r="I66" s="4"/>
      <x:c r="J66" s="4"/>
      <x:c r="K66" s="2"/>
      <x:c r="L66" s="2"/>
      <x:c r="M66" s="2"/>
      <x:c r="N66" s="2"/>
    </x:row>
    <x:row r="67" ht="22" customHeight="1">
      <x:c r="C67" s="2"/>
      <x:c r="D67" s="4"/>
      <x:c r="E67" s="4"/>
      <x:c r="F67" s="4"/>
      <x:c r="G67" s="4"/>
      <x:c r="H67" s="4"/>
      <x:c r="I67" s="4"/>
      <x:c r="J67" s="4"/>
      <x:c r="K67" s="2"/>
      <x:c r="L67" s="2"/>
      <x:c r="M67" s="2"/>
      <x:c r="N67" s="2"/>
    </x:row>
    <x:row r="68" ht="22" customHeight="1">
      <x:c r="C68" s="2"/>
      <x:c r="D68" s="4"/>
      <x:c r="E68" s="4"/>
      <x:c r="F68" s="4"/>
      <x:c r="G68" s="4"/>
      <x:c r="H68" s="4"/>
      <x:c r="I68" s="4"/>
      <x:c r="J68" s="4"/>
      <x:c r="K68" s="2"/>
      <x:c r="L68" s="2"/>
      <x:c r="M68" s="2"/>
      <x:c r="N68" s="2"/>
    </x:row>
    <x:row r="69" ht="22" customHeight="1">
      <x:c r="C69" s="2"/>
      <x:c r="D69" s="4"/>
      <x:c r="E69" s="4"/>
      <x:c r="F69" s="4"/>
      <x:c r="G69" s="4"/>
      <x:c r="H69" s="4"/>
      <x:c r="I69" s="4"/>
      <x:c r="J69" s="4"/>
      <x:c r="K69" s="2"/>
      <x:c r="L69" s="2"/>
      <x:c r="M69" s="2"/>
      <x:c r="N69" s="2"/>
    </x:row>
    <x:row r="70" ht="22" customHeight="1">
      <x:c r="C70" s="2"/>
      <x:c r="D70" s="4"/>
      <x:c r="E70" s="4"/>
      <x:c r="F70" s="4"/>
      <x:c r="G70" s="4"/>
      <x:c r="H70" s="4"/>
      <x:c r="I70" s="4"/>
      <x:c r="J70" s="4"/>
      <x:c r="K70" s="2"/>
      <x:c r="L70" s="2"/>
      <x:c r="M70" s="2"/>
      <x:c r="N70" s="2"/>
    </x:row>
    <x:row r="71" ht="22" customHeight="1">
      <x:c r="C71" s="2"/>
      <x:c r="D71" s="4"/>
      <x:c r="E71" s="4"/>
      <x:c r="F71" s="4"/>
      <x:c r="G71" s="4"/>
      <x:c r="H71" s="4"/>
      <x:c r="I71" s="4"/>
      <x:c r="J71" s="4"/>
      <x:c r="K71" s="2"/>
      <x:c r="L71" s="2"/>
      <x:c r="M71" s="2"/>
      <x:c r="N71" s="2"/>
    </x:row>
    <x:row r="72" ht="22" customHeight="1">
      <x:c r="C72" s="2"/>
      <x:c r="D72" s="4"/>
      <x:c r="E72" s="4"/>
      <x:c r="F72" s="4"/>
      <x:c r="G72" s="4"/>
      <x:c r="H72" s="4"/>
      <x:c r="I72" s="4"/>
      <x:c r="J72" s="4"/>
      <x:c r="K72" s="2"/>
      <x:c r="L72" s="2"/>
      <x:c r="M72" s="2"/>
      <x:c r="N72" s="2"/>
    </x:row>
    <x:row r="73" ht="22" customHeight="1">
      <x:c r="C73" s="2"/>
      <x:c r="D73" s="4"/>
      <x:c r="E73" s="4"/>
      <x:c r="F73" s="4"/>
      <x:c r="G73" s="4"/>
      <x:c r="H73" s="4"/>
      <x:c r="I73" s="4"/>
      <x:c r="J73" s="4"/>
      <x:c r="K73" s="2"/>
      <x:c r="L73" s="2"/>
      <x:c r="M73" s="2"/>
      <x:c r="N73" s="2"/>
    </x:row>
    <x:row r="74" ht="22" customHeight="1">
      <x:c r="C74" s="2"/>
      <x:c r="D74" s="4"/>
      <x:c r="E74" s="4"/>
      <x:c r="F74" s="4"/>
      <x:c r="G74" s="4"/>
      <x:c r="H74" s="4"/>
      <x:c r="I74" s="4"/>
      <x:c r="J74" s="4"/>
      <x:c r="K74" s="2"/>
      <x:c r="L74" s="2"/>
      <x:c r="M74" s="2"/>
      <x:c r="N74" s="2"/>
    </x:row>
    <x:row r="75" ht="22" customHeight="1">
      <x:c r="C75" s="2"/>
      <x:c r="D75" s="4"/>
      <x:c r="E75" s="4"/>
      <x:c r="F75" s="4"/>
      <x:c r="G75" s="4"/>
      <x:c r="H75" s="4"/>
      <x:c r="I75" s="4"/>
      <x:c r="J75" s="4"/>
      <x:c r="K75" s="2"/>
      <x:c r="L75" s="2"/>
      <x:c r="M75" s="2"/>
      <x:c r="N75" s="2"/>
    </x:row>
    <x:row r="76" ht="22" customHeight="1">
      <x:c r="C76" s="2"/>
      <x:c r="D76" s="4"/>
      <x:c r="E76" s="4"/>
      <x:c r="F76" s="4"/>
      <x:c r="G76" s="4"/>
      <x:c r="H76" s="4"/>
      <x:c r="I76" s="4"/>
      <x:c r="J76" s="4"/>
      <x:c r="K76" s="2"/>
      <x:c r="L76" s="2"/>
      <x:c r="M76" s="2"/>
      <x:c r="N76" s="2"/>
    </x:row>
    <x:row r="77" ht="22" customHeight="1">
      <x:c r="C77" s="2"/>
      <x:c r="D77" s="4"/>
      <x:c r="E77" s="4"/>
      <x:c r="F77" s="4"/>
      <x:c r="G77" s="4"/>
      <x:c r="H77" s="4"/>
      <x:c r="I77" s="4"/>
      <x:c r="J77" s="4"/>
      <x:c r="K77" s="2"/>
      <x:c r="L77" s="2"/>
      <x:c r="M77" s="2"/>
      <x:c r="N77" s="2"/>
    </x:row>
    <x:row r="78" ht="22" customHeight="1">
      <x:c r="C78" s="2"/>
      <x:c r="D78" s="4"/>
      <x:c r="E78" s="4"/>
      <x:c r="F78" s="4"/>
      <x:c r="G78" s="4"/>
      <x:c r="H78" s="4"/>
      <x:c r="I78" s="4"/>
      <x:c r="J78" s="4"/>
      <x:c r="K78" s="2"/>
      <x:c r="L78" s="2"/>
      <x:c r="M78" s="2"/>
      <x:c r="N78" s="2"/>
    </x:row>
    <x:row r="79" ht="22" customHeight="1">
      <x:c r="C79" s="2"/>
      <x:c r="D79" s="4"/>
      <x:c r="E79" s="4"/>
      <x:c r="F79" s="4"/>
      <x:c r="G79" s="4"/>
      <x:c r="H79" s="4"/>
      <x:c r="I79" s="4"/>
      <x:c r="J79" s="4"/>
      <x:c r="K79" s="2"/>
      <x:c r="L79" s="2"/>
      <x:c r="M79" s="2"/>
      <x:c r="N79" s="2"/>
    </x:row>
    <x:row r="80" ht="22" customHeight="1">
      <x:c r="C80" s="2"/>
      <x:c r="D80" s="4"/>
      <x:c r="E80" s="4"/>
      <x:c r="F80" s="4"/>
      <x:c r="G80" s="4"/>
      <x:c r="H80" s="4"/>
      <x:c r="I80" s="4"/>
      <x:c r="J80" s="4"/>
      <x:c r="K80" s="2"/>
      <x:c r="L80" s="2"/>
      <x:c r="M80" s="2"/>
      <x:c r="N80" s="2"/>
    </x:row>
    <x:row r="81" ht="22" customHeight="1">
      <x:c r="C81" s="2"/>
      <x:c r="D81" s="4"/>
      <x:c r="E81" s="4"/>
      <x:c r="F81" s="4"/>
      <x:c r="G81" s="4"/>
      <x:c r="H81" s="4"/>
      <x:c r="I81" s="4"/>
      <x:c r="J81" s="4"/>
      <x:c r="K81" s="2"/>
      <x:c r="L81" s="2"/>
      <x:c r="M81" s="2"/>
      <x:c r="N81" s="2"/>
    </x:row>
    <x:row r="82" ht="22" customHeight="1">
      <x:c r="C82" s="2"/>
      <x:c r="D82" s="4"/>
      <x:c r="E82" s="4"/>
      <x:c r="F82" s="4"/>
      <x:c r="G82" s="4"/>
      <x:c r="H82" s="4"/>
      <x:c r="I82" s="4"/>
      <x:c r="J82" s="4"/>
      <x:c r="K82" s="2"/>
      <x:c r="L82" s="2"/>
      <x:c r="M82" s="2"/>
      <x:c r="N82" s="2"/>
    </x:row>
    <x:row r="83" ht="22" customHeight="1">
      <x:c r="C83" s="2"/>
      <x:c r="D83" s="4"/>
      <x:c r="E83" s="4"/>
      <x:c r="F83" s="4"/>
      <x:c r="G83" s="4"/>
      <x:c r="H83" s="4"/>
      <x:c r="I83" s="4"/>
      <x:c r="J83" s="4"/>
      <x:c r="K83" s="2"/>
      <x:c r="L83" s="2"/>
      <x:c r="M83" s="2"/>
      <x:c r="N83" s="2"/>
    </x:row>
    <x:row r="84" ht="22" customHeight="1">
      <x:c r="C84" s="2"/>
      <x:c r="D84" s="4"/>
      <x:c r="E84" s="4"/>
      <x:c r="F84" s="4"/>
      <x:c r="G84" s="4"/>
      <x:c r="H84" s="4"/>
      <x:c r="I84" s="4"/>
      <x:c r="J84" s="4"/>
      <x:c r="K84" s="2"/>
      <x:c r="L84" s="2"/>
      <x:c r="M84" s="2"/>
      <x:c r="N84" s="2"/>
    </x:row>
    <x:row r="85" ht="22" customHeight="1">
      <x:c r="C85" s="2"/>
      <x:c r="D85" s="4"/>
      <x:c r="E85" s="4"/>
      <x:c r="F85" s="4"/>
      <x:c r="G85" s="4"/>
      <x:c r="H85" s="4"/>
      <x:c r="I85" s="4"/>
      <x:c r="J85" s="4"/>
      <x:c r="K85" s="2"/>
      <x:c r="L85" s="2"/>
      <x:c r="M85" s="2"/>
      <x:c r="N85" s="2"/>
    </x:row>
    <x:row r="86" ht="22" customHeight="1">
      <x:c r="C86" s="2"/>
      <x:c r="D86" s="4"/>
      <x:c r="E86" s="4"/>
      <x:c r="F86" s="4"/>
      <x:c r="G86" s="4"/>
      <x:c r="H86" s="4"/>
      <x:c r="I86" s="4"/>
      <x:c r="J86" s="4"/>
      <x:c r="K86" s="2"/>
      <x:c r="L86" s="2"/>
      <x:c r="M86" s="2"/>
      <x:c r="N86" s="2"/>
    </x:row>
    <x:row r="87" ht="22" customHeight="1">
      <x:c r="C87" s="2"/>
      <x:c r="D87" s="4"/>
      <x:c r="E87" s="4"/>
      <x:c r="F87" s="4"/>
      <x:c r="G87" s="4"/>
      <x:c r="H87" s="4"/>
      <x:c r="I87" s="4"/>
      <x:c r="J87" s="4"/>
      <x:c r="K87" s="2"/>
      <x:c r="L87" s="2"/>
      <x:c r="M87" s="2"/>
      <x:c r="N87" s="2"/>
    </x:row>
    <x:row r="88" ht="22" customHeight="1">
      <x:c r="C88" s="2"/>
      <x:c r="D88" s="4"/>
      <x:c r="E88" s="4"/>
      <x:c r="F88" s="4"/>
      <x:c r="G88" s="4"/>
      <x:c r="H88" s="4"/>
      <x:c r="I88" s="4"/>
      <x:c r="J88" s="4"/>
      <x:c r="K88" s="2"/>
      <x:c r="L88" s="2"/>
      <x:c r="M88" s="2"/>
      <x:c r="N88" s="2"/>
    </x:row>
    <x:row r="89" ht="22" customHeight="1">
      <x:c r="C89" s="2"/>
      <x:c r="D89" s="4"/>
      <x:c r="E89" s="4"/>
      <x:c r="F89" s="4"/>
      <x:c r="G89" s="4"/>
      <x:c r="H89" s="4"/>
      <x:c r="I89" s="4"/>
      <x:c r="J89" s="4"/>
      <x:c r="K89" s="2"/>
      <x:c r="L89" s="2"/>
      <x:c r="M89" s="2"/>
      <x:c r="N89" s="2"/>
    </x:row>
    <x:row r="90" ht="22" customHeight="1">
      <x:c r="C90" s="2"/>
      <x:c r="D90" s="4"/>
      <x:c r="E90" s="4"/>
      <x:c r="F90" s="4"/>
      <x:c r="G90" s="4"/>
      <x:c r="H90" s="4"/>
      <x:c r="I90" s="4"/>
      <x:c r="J90" s="4"/>
      <x:c r="K90" s="2"/>
      <x:c r="L90" s="2"/>
      <x:c r="M90" s="2"/>
      <x:c r="N90" s="2"/>
    </x:row>
  </x:sheetData>
  <x:pageMargins left="0.7" right="0.7" top="0.75" bottom="0.75" header="0.3" footer="0.3"/>
</x:worksheet>
</file>