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2a843c18534462" /></Relationships>
</file>

<file path=xl/workbook.xml><?xml version="1.0" encoding="utf-8"?>
<x:workbook xmlns:x="http://schemas.openxmlformats.org/spreadsheetml/2006/main">
  <x:sheets>
    <x:sheet xmlns:r="http://schemas.openxmlformats.org/officeDocument/2006/relationships" name="Guide" sheetId="1" r:id="R38832b3835df47c2"/>
    <x:sheet xmlns:r="http://schemas.openxmlformats.org/officeDocument/2006/relationships" name="Sources" sheetId="2" r:id="R0f206fd7023346c3"/>
    <x:sheet xmlns:r="http://schemas.openxmlformats.org/officeDocument/2006/relationships" name="History" sheetId="3" r:id="R768f7af1358f4910"/>
    <x:sheet xmlns:r="http://schemas.openxmlformats.org/officeDocument/2006/relationships" name="Inputs" sheetId="4" r:id="R3454ac042b8d411a"/>
    <x:sheet xmlns:r="http://schemas.openxmlformats.org/officeDocument/2006/relationships" name="Options" sheetId="5" r:id="R23bffe7adaa64e89"/>
    <x:sheet xmlns:r="http://schemas.openxmlformats.org/officeDocument/2006/relationships" name="Scenarios" sheetId="6" r:id="Rd2f8c924f181407e"/>
    <x:sheet xmlns:r="http://schemas.openxmlformats.org/officeDocument/2006/relationships" name="Ramp" sheetId="7" r:id="R9905e0802f114e9c"/>
    <x:sheet xmlns:r="http://schemas.openxmlformats.org/officeDocument/2006/relationships" name="Financing" sheetId="8" r:id="Rd6a1a2a76839415f"/>
    <x:sheet xmlns:r="http://schemas.openxmlformats.org/officeDocument/2006/relationships" name="Cases" sheetId="9" r:id="R4ae79fb45c4042df"/>
    <x:sheet xmlns:r="http://schemas.openxmlformats.org/officeDocument/2006/relationships" name="Dashboard" sheetId="10" r:id="Rc0becbead62d4e24"/>
    <x:sheet xmlns:r="http://schemas.openxmlformats.org/officeDocument/2006/relationships" name="Sensitivity" sheetId="11" r:id="R1d3d3dc9e4324e75"/>
    <x:sheet xmlns:r="http://schemas.openxmlformats.org/officeDocument/2006/relationships" name="Checks" sheetId="12" r:id="Ra2b7bfa986384f31"/>
    <x:sheet xmlns:r="http://schemas.openxmlformats.org/officeDocument/2006/relationships" name="Policy Tests" sheetId="13" r:id="R21b344ae77484d66"/>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0;[Red](#,##0);-"/>
    <x:numFmt numFmtId="201" formatCode="$0.00"/>
    <x:numFmt numFmtId="202" formatCode="0.0%;[Red](0.0%);-"/>
    <x:numFmt numFmtId="203" formatCode="$#,##0;[Red]($#,##0);-"/>
    <x:numFmt numFmtId="204" formatCode="#,##0.0;[Red](#,##0.0);-"/>
    <x:numFmt numFmtId="205" formatCode="#,##0.0 &quot;t&quot;;[Red](#,##0.0 &quot;t&quot;);-"/>
    <x:numFmt numFmtId="206" formatCode="0.0%"/>
    <x:numFmt numFmtId="207" formatCode="0.00"/>
    <x:numFmt numFmtId="208" formatCode="$#,##0"/>
    <x:numFmt numFmtId="209" formatCode="0%"/>
  </x:numFmts>
  <x:fonts count="15">
    <x:font>
      <x:sz val="11"/>
      <x:name val="Carlito"/>
    </x:font>
    <x:font>
      <x:sz val="11"/>
      <x:name val="Arial"/>
    </x:font>
    <x:font>
      <x:sz val="11"/>
      <x:color rgb="FF18283A"/>
      <x:name val="Arial"/>
    </x:font>
    <x:font>
      <x:b/>
      <x:sz val="11"/>
      <x:color rgb="FFFFFFFF"/>
      <x:name val="Arial"/>
    </x:font>
    <x:font>
      <x:sz val="11"/>
      <x:color rgb="FF4A6075"/>
      <x:name val="Arial"/>
    </x:font>
    <x:font>
      <x:sz val="11"/>
      <x:color rgb="FF315A7D"/>
      <x:name val="Arial"/>
    </x:font>
    <x:font>
      <x:sz val="11"/>
      <x:color rgb="FF245BB2"/>
      <x:name val="Arial"/>
    </x:font>
    <x:font>
      <x:b/>
      <x:sz val="11"/>
      <x:color rgb="FF18283A"/>
      <x:name val="Arial"/>
    </x:font>
    <x:font>
      <x:b/>
      <x:sz val="11"/>
      <x:color rgb="FF315A7D"/>
      <x:name val="Arial"/>
    </x:font>
    <x:font>
      <x:sz val="11"/>
      <x:color rgb="FFB96D43"/>
      <x:name val="Arial"/>
    </x:font>
    <x:font>
      <x:sz val="11"/>
      <x:color rgb="FF5B5548"/>
      <x:name val="Arial"/>
    </x:font>
    <x:font>
      <x:sz val="11"/>
      <x:color rgb="FF1B1915"/>
      <x:name val="Arial"/>
    </x:font>
    <x:font>
      <x:sz val="11"/>
      <x:color rgb="FF7A5510"/>
      <x:name val="Arial"/>
    </x:font>
    <x:font>
      <x:b/>
      <x:sz val="11"/>
      <x:color rgb="FF1B1915"/>
      <x:name val="Arial"/>
    </x:font>
    <x:font>
      <x:b/>
      <x:sz val="11"/>
      <x:color rgb="FF7A5510"/>
      <x:name val="Arial"/>
    </x:font>
  </x:fonts>
  <x:fills count="18">
    <x:fill>
      <x:patternFill patternType="none"/>
    </x:fill>
    <x:fill>
      <x:patternFill patternType="gray125"/>
    </x:fill>
    <x:fill>
      <x:patternFill patternType="solid">
        <x:fgColor rgb="FF182B42"/>
      </x:patternFill>
    </x:fill>
    <x:fill>
      <x:patternFill patternType="solid">
        <x:fgColor rgb="FFEAF1F6"/>
      </x:patternFill>
    </x:fill>
    <x:fill>
      <x:patternFill patternType="solid">
        <x:fgColor rgb="FFF9EDE6"/>
      </x:patternFill>
    </x:fill>
    <x:fill>
      <x:patternFill patternType="solid">
        <x:fgColor rgb="FF315A7D"/>
      </x:patternFill>
    </x:fill>
    <x:fill>
      <x:patternFill patternType="solid">
        <x:fgColor rgb="FFF6F8FA"/>
      </x:patternFill>
    </x:fill>
    <x:fill>
      <x:patternFill patternType="solid">
        <x:fgColor rgb="FF182B42"/>
      </x:patternFill>
    </x:fill>
    <x:fill>
      <x:patternFill patternType="solid">
        <x:fgColor rgb="FFEAF1F6"/>
      </x:patternFill>
    </x:fill>
    <x:fill>
      <x:patternFill patternType="solid">
        <x:fgColor rgb="FF315A7D"/>
      </x:patternFill>
    </x:fill>
    <x:fill>
      <x:patternFill patternType="solid">
        <x:fgColor rgb="FFF9EDE6"/>
      </x:patternFill>
    </x:fill>
    <x:fill>
      <x:patternFill patternType="solid">
        <x:fgColor rgb="FFF6F8FA"/>
      </x:patternFill>
    </x:fill>
    <x:fill>
      <x:patternFill patternType="solid">
        <x:fgColor rgb="FFF9EDE6"/>
      </x:patternFill>
    </x:fill>
    <x:fill>
      <x:patternFill patternType="solid">
        <x:fgColor rgb="FF12110F"/>
      </x:patternFill>
    </x:fill>
    <x:fill>
      <x:patternFill patternType="solid">
        <x:fgColor rgb="FFEFEAE1"/>
      </x:patternFill>
    </x:fill>
    <x:fill>
      <x:patternFill patternType="solid">
        <x:fgColor rgb="FFF5ECD7"/>
      </x:patternFill>
    </x:fill>
    <x:fill>
      <x:patternFill patternType="solid">
        <x:fgColor rgb="FF433E34"/>
      </x:patternFill>
    </x:fill>
    <x:fill>
      <x:patternFill patternType="solid">
        <x:fgColor rgb="FFFAF8F3"/>
      </x:patternFill>
    </x:fill>
  </x:fills>
  <x:borders count="2">
    <x:border/>
    <x:border/>
  </x:borders>
  <x:cellStyleXfs count="1">
    <x:xf numFmtId="0" fontId="0" fillId="0" borderId="0"/>
  </x:cellStyleXfs>
  <x:cellXfs count="212">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2" fillId="2" borderId="1" xfId="0" applyNumberFormat="1" applyFont="1" applyFill="1" applyBorder="1"/>
    <x:xf numFmtId="0" fontId="3" fillId="2" borderId="1" xfId="0" applyNumberFormat="1" applyFont="1" applyFill="1" applyBorder="1"/>
    <x:xf numFmtId="0" fontId="2" fillId="3" borderId="0" xfId="0" applyNumberFormat="1" applyFont="1" applyFill="1" applyBorder="1"/>
    <x:xf numFmtId="0" fontId="4" fillId="3" borderId="0" xfId="0" applyNumberFormat="1" applyFont="1" applyFill="1" applyBorder="1"/>
    <x:xf numFmtId="0" fontId="2" fillId="3" borderId="1" xfId="0" applyNumberFormat="1" applyFont="1" applyFill="1" applyBorder="1"/>
    <x:xf numFmtId="0" fontId="4" fillId="3" borderId="1" xfId="0" applyNumberFormat="1" applyFont="1" applyFill="1" applyBorder="1"/>
    <x:xf numFmtId="0" fontId="3" fillId="2"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2" borderId="1" xfId="0" applyNumberFormat="1" applyFont="1" applyFill="1" applyBorder="1" applyAlignment="1">
      <x:alignment vertical="center"/>
    </x:xf>
    <x:xf numFmtId="0" fontId="4" fillId="3" borderId="1" xfId="0" applyNumberFormat="1" applyFont="1" applyFill="1" applyBorder="1" applyAlignment="1">
      <x:alignment vertical="center"/>
    </x:xf>
    <x:xf numFmtId="0" fontId="2" fillId="0" borderId="1"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2" fillId="4" borderId="1" xfId="0" applyNumberFormat="1" applyFont="1" applyFill="1" applyBorder="1" applyAlignment="1">
      <x:alignment vertical="center"/>
    </x:xf>
    <x:xf numFmtId="0" fontId="2" fillId="4" borderId="1"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2"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2"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wrapText="1"/>
    </x:xf>
    <x:xf numFmtId="0" fontId="3" fillId="5" borderId="0" xfId="0" applyNumberFormat="1" applyFont="1" applyFill="1" applyBorder="1" applyAlignment="1">
      <x:alignment vertical="center" wrapText="1"/>
    </x:xf>
    <x:xf numFmtId="0" fontId="3" fillId="5" borderId="1" xfId="0" applyNumberFormat="1" applyFont="1" applyFill="1" applyBorder="1" applyAlignment="1">
      <x:alignment vertical="center" wrapText="1"/>
    </x:xf>
    <x:xf numFmtId="0" fontId="5" fillId="0" borderId="0" xfId="0" applyNumberFormat="1" applyFont="1" applyFill="1" applyBorder="1" applyAlignment="1">
      <x:alignment vertical="center"/>
    </x:xf>
    <x:xf numFmtId="0" fontId="5" fillId="0" borderId="1" xfId="0" applyNumberFormat="1" applyFont="1" applyFill="1" applyBorder="1" applyAlignment="1">
      <x:alignment vertical="center"/>
    </x:xf>
    <x:xf numFmtId="200" fontId="3" fillId="2" borderId="0" xfId="0" applyNumberFormat="1" applyFont="1" applyFill="1" applyBorder="1" applyAlignment="1">
      <x:alignment vertical="center"/>
    </x:xf>
    <x:xf numFmtId="200" fontId="3" fillId="2" borderId="1" xfId="0" applyNumberFormat="1" applyFont="1" applyFill="1" applyBorder="1" applyAlignment="1">
      <x:alignment vertical="center"/>
    </x:xf>
    <x:xf numFmtId="201" fontId="3" fillId="2" borderId="0" xfId="0" applyNumberFormat="1" applyFont="1" applyFill="1" applyBorder="1" applyAlignment="1">
      <x:alignment vertical="center"/>
    </x:xf>
    <x:xf numFmtId="201" fontId="3" fillId="2" borderId="1" xfId="0" applyNumberFormat="1" applyFont="1" applyFill="1" applyBorder="1" applyAlignment="1">
      <x:alignment vertical="center"/>
    </x:xf>
    <x:xf numFmtId="202" fontId="3" fillId="2" borderId="0" xfId="0" applyNumberFormat="1" applyFont="1" applyFill="1" applyBorder="1" applyAlignment="1">
      <x:alignment vertical="center"/>
    </x:xf>
    <x:xf numFmtId="202" fontId="3" fillId="2" borderId="1" xfId="0" applyNumberFormat="1" applyFont="1" applyFill="1" applyBorder="1" applyAlignment="1">
      <x:alignment vertical="center"/>
    </x:xf>
    <x:xf numFmtId="202" fontId="2" fillId="0" borderId="0" xfId="0" applyNumberFormat="1" applyFont="1" applyFill="1" applyBorder="1" applyAlignment="1">
      <x:alignment vertical="center"/>
    </x:xf>
    <x:xf numFmtId="202" fontId="2" fillId="0" borderId="1" xfId="0" applyNumberFormat="1" applyFont="1" applyFill="1" applyBorder="1" applyAlignment="1">
      <x:alignment vertical="center"/>
    </x:xf>
    <x:xf numFmtId="203" fontId="2" fillId="0" borderId="0" xfId="0" applyNumberFormat="1" applyFont="1" applyFill="1" applyBorder="1" applyAlignment="1">
      <x:alignment vertical="center"/>
    </x:xf>
    <x:xf numFmtId="203" fontId="2" fillId="0" borderId="1" xfId="0" applyNumberFormat="1" applyFont="1" applyFill="1" applyBorder="1" applyAlignment="1">
      <x:alignment vertical="center"/>
    </x:xf>
    <x:xf numFmtId="0" fontId="2" fillId="3" borderId="0" xfId="0" applyNumberFormat="1" applyFont="1" applyFill="1" applyBorder="1" applyAlignment="1">
      <x:alignment vertical="center"/>
    </x:xf>
    <x:xf numFmtId="0" fontId="2" fillId="3" borderId="1"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1" xfId="0" applyNumberFormat="1" applyFont="1" applyFill="1" applyBorder="1" applyAlignment="1">
      <x:alignment vertical="center"/>
    </x:xf>
    <x:xf numFmtId="202" fontId="6" fillId="3" borderId="0" xfId="0" applyNumberFormat="1" applyFont="1" applyFill="1" applyBorder="1" applyAlignment="1">
      <x:alignment vertical="center"/>
    </x:xf>
    <x:xf numFmtId="202" fontId="6" fillId="3" borderId="1" xfId="0" applyNumberFormat="1" applyFont="1" applyFill="1" applyBorder="1" applyAlignment="1">
      <x:alignment vertical="center"/>
    </x:xf>
    <x:xf numFmtId="203" fontId="2" fillId="3" borderId="0" xfId="0" applyNumberFormat="1" applyFont="1" applyFill="1" applyBorder="1" applyAlignment="1">
      <x:alignment vertical="center"/>
    </x:xf>
    <x:xf numFmtId="203" fontId="2" fillId="3" borderId="1" xfId="0" applyNumberFormat="1" applyFont="1" applyFill="1" applyBorder="1" applyAlignment="1">
      <x:alignment vertical="center"/>
    </x:xf>
    <x:xf numFmtId="203" fontId="6" fillId="3" borderId="0" xfId="0" applyNumberFormat="1" applyFont="1" applyFill="1" applyBorder="1" applyAlignment="1">
      <x:alignment vertical="center"/>
    </x:xf>
    <x:xf numFmtId="203" fontId="6" fillId="3" borderId="1" xfId="0" applyNumberFormat="1" applyFont="1" applyFill="1" applyBorder="1" applyAlignment="1">
      <x:alignment vertical="center"/>
    </x:xf>
    <x:xf numFmtId="202" fontId="6"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202" fontId="2" fillId="4" borderId="0" xfId="0" applyNumberFormat="1" applyFont="1" applyFill="1" applyBorder="1" applyAlignment="1">
      <x:alignment vertical="center"/>
    </x:xf>
    <x:xf numFmtId="203" fontId="2" fillId="4" borderId="0" xfId="0" applyNumberFormat="1" applyFont="1" applyFill="1" applyBorder="1" applyAlignment="1">
      <x:alignment vertical="center"/>
    </x:xf>
    <x:xf numFmtId="202" fontId="6" fillId="4" borderId="1" xfId="0" applyNumberFormat="1" applyFont="1" applyFill="1" applyBorder="1" applyAlignment="1">
      <x:alignment vertical="center"/>
    </x:xf>
    <x:xf numFmtId="0" fontId="6" fillId="4" borderId="1" xfId="0" applyNumberFormat="1" applyFont="1" applyFill="1" applyBorder="1" applyAlignment="1">
      <x:alignment vertical="center"/>
    </x:xf>
    <x:xf numFmtId="202" fontId="2" fillId="4" borderId="1" xfId="0" applyNumberFormat="1" applyFont="1" applyFill="1" applyBorder="1" applyAlignment="1">
      <x:alignment vertical="center"/>
    </x:xf>
    <x:xf numFmtId="203" fontId="2" fillId="4" borderId="1" xfId="0" applyNumberFormat="1" applyFont="1" applyFill="1" applyBorder="1" applyAlignment="1">
      <x:alignment vertical="center"/>
    </x:xf>
    <x:xf numFmtId="204" fontId="2" fillId="0" borderId="0" xfId="0" applyNumberFormat="1" applyFont="1" applyFill="1" applyBorder="1" applyAlignment="1">
      <x:alignment vertical="center" wrapText="1"/>
    </x:xf>
    <x:xf numFmtId="204" fontId="2" fillId="0" borderId="1" xfId="0" applyNumberFormat="1" applyFont="1" applyFill="1" applyBorder="1" applyAlignment="1">
      <x:alignment vertical="center" wrapText="1"/>
    </x:xf>
    <x:xf numFmtId="204" fontId="3" fillId="2" borderId="0" xfId="0" applyNumberFormat="1" applyFont="1" applyFill="1" applyBorder="1" applyAlignment="1">
      <x:alignment vertical="center"/>
    </x:xf>
    <x:xf numFmtId="204" fontId="3" fillId="2" borderId="1" xfId="0" applyNumberFormat="1" applyFont="1" applyFill="1" applyBorder="1" applyAlignment="1">
      <x:alignment vertical="center"/>
    </x:xf>
    <x:xf numFmtId="203" fontId="3" fillId="2" borderId="0" xfId="0" applyNumberFormat="1" applyFont="1" applyFill="1" applyBorder="1" applyAlignment="1">
      <x:alignment vertical="center"/>
    </x:xf>
    <x:xf numFmtId="203" fontId="3" fillId="2" borderId="1" xfId="0" applyNumberFormat="1" applyFont="1" applyFill="1" applyBorder="1" applyAlignment="1">
      <x:alignment vertical="center"/>
    </x:xf>
    <x:xf numFmtId="205" fontId="2" fillId="0" borderId="0" xfId="0" applyNumberFormat="1" applyFont="1" applyFill="1" applyBorder="1" applyAlignment="1">
      <x:alignment vertical="center"/>
    </x:xf>
    <x:xf numFmtId="205" fontId="2" fillId="0" borderId="1" xfId="0" applyNumberFormat="1" applyFont="1" applyFill="1" applyBorder="1" applyAlignment="1">
      <x:alignment vertical="center"/>
    </x:xf>
    <x:xf numFmtId="205" fontId="2" fillId="4" borderId="0" xfId="0" applyNumberFormat="1" applyFont="1" applyFill="1" applyBorder="1" applyAlignment="1">
      <x:alignment vertical="center"/>
    </x:xf>
    <x:xf numFmtId="205" fontId="2" fillId="4" borderId="1" xfId="0" applyNumberFormat="1" applyFont="1" applyFill="1" applyBorder="1" applyAlignment="1">
      <x:alignment vertical="center"/>
    </x:xf>
    <x:xf numFmtId="0" fontId="7" fillId="4" borderId="0" xfId="0" applyNumberFormat="1" applyFont="1" applyFill="1" applyBorder="1" applyAlignment="1">
      <x:alignment vertical="center"/>
    </x:xf>
    <x:xf numFmtId="205" fontId="7" fillId="4" borderId="0" xfId="0" applyNumberFormat="1" applyFont="1" applyFill="1" applyBorder="1" applyAlignment="1">
      <x:alignment vertical="center"/>
    </x:xf>
    <x:xf numFmtId="202" fontId="7" fillId="4" borderId="0" xfId="0" applyNumberFormat="1" applyFont="1" applyFill="1" applyBorder="1" applyAlignment="1">
      <x:alignment vertical="center"/>
    </x:xf>
    <x:xf numFmtId="203" fontId="7" fillId="4" borderId="0" xfId="0" applyNumberFormat="1" applyFont="1" applyFill="1" applyBorder="1" applyAlignment="1">
      <x:alignment vertical="center"/>
    </x:xf>
    <x:xf numFmtId="0" fontId="7" fillId="4" borderId="1" xfId="0" applyNumberFormat="1" applyFont="1" applyFill="1" applyBorder="1" applyAlignment="1">
      <x:alignment vertical="center"/>
    </x:xf>
    <x:xf numFmtId="205" fontId="7" fillId="4" borderId="1" xfId="0" applyNumberFormat="1" applyFont="1" applyFill="1" applyBorder="1" applyAlignment="1">
      <x:alignment vertical="center"/>
    </x:xf>
    <x:xf numFmtId="202" fontId="7" fillId="4" borderId="1" xfId="0" applyNumberFormat="1" applyFont="1" applyFill="1" applyBorder="1" applyAlignment="1">
      <x:alignment vertical="center"/>
    </x:xf>
    <x:xf numFmtId="203" fontId="7" fillId="4" borderId="1"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1" xfId="0" applyNumberFormat="1" applyFont="1" applyFill="1" applyBorder="1" applyAlignment="1">
      <x:alignment vertical="center"/>
    </x:xf>
    <x:xf numFmtId="0" fontId="2" fillId="6" borderId="0" xfId="0" applyNumberFormat="1" applyFont="1" applyFill="1" applyBorder="1" applyAlignment="1">
      <x:alignment vertical="center"/>
    </x:xf>
    <x:xf numFmtId="0" fontId="2" fillId="6" borderId="0" xfId="0" applyNumberFormat="1" applyFont="1" applyFill="1" applyBorder="1" applyAlignment="1">
      <x:alignment vertical="center" wrapText="1"/>
    </x:xf>
    <x:xf numFmtId="0" fontId="2" fillId="6" borderId="1" xfId="0" applyNumberFormat="1" applyFont="1" applyFill="1" applyBorder="1" applyAlignment="1">
      <x:alignment vertical="center"/>
    </x:xf>
    <x:xf numFmtId="0" fontId="2" fillId="6" borderId="1" xfId="0" applyNumberFormat="1" applyFont="1" applyFill="1" applyBorder="1" applyAlignment="1">
      <x:alignment vertical="center" wrapText="1"/>
    </x:xf>
    <x:xf numFmtId="204" fontId="2" fillId="0" borderId="0" xfId="0" applyNumberFormat="1" applyFont="1" applyFill="1" applyBorder="1" applyAlignment="1">
      <x:alignment vertical="center"/>
    </x:xf>
    <x:xf numFmtId="204" fontId="2" fillId="0" borderId="1" xfId="0" applyNumberFormat="1" applyFont="1" applyFill="1" applyBorder="1" applyAlignment="1">
      <x:alignment vertical="center"/>
    </x:xf>
    <x:xf numFmtId="202" fontId="2" fillId="3" borderId="0" xfId="0" applyNumberFormat="1" applyFont="1" applyFill="1" applyBorder="1" applyAlignment="1">
      <x:alignment vertical="center"/>
    </x:xf>
    <x:xf numFmtId="202" fontId="2" fillId="3" borderId="1" xfId="0" applyNumberFormat="1" applyFont="1" applyFill="1" applyBorder="1" applyAlignment="1">
      <x:alignment vertical="center"/>
    </x:xf>
    <x:xf numFmtId="201" fontId="2" fillId="0" borderId="0" xfId="0" applyNumberFormat="1" applyFont="1" applyFill="1" applyBorder="1" applyAlignment="1">
      <x:alignment vertical="center"/>
    </x:xf>
    <x:xf numFmtId="201" fontId="2" fillId="0" borderId="1" xfId="0" applyNumberFormat="1" applyFont="1" applyFill="1" applyBorder="1" applyAlignment="1">
      <x:alignment vertical="center"/>
    </x:xf>
    <x:xf numFmtId="0" fontId="0" fillId="0" borderId="0" xfId="0" applyNumberFormat="1" applyFont="1" applyFill="1" applyBorder="1"/>
    <x:xf numFmtId="0" fontId="1" fillId="0" borderId="0" xfId="0" applyNumberFormat="1" applyFont="1" applyFill="1" applyBorder="1" applyAlignment="1">
      <x:alignment wrapText="1"/>
    </x:xf>
    <x:xf numFmtId="0" fontId="5" fillId="0" borderId="0" xfId="0" applyNumberFormat="1" applyFont="1" applyFill="1" applyBorder="1"/>
    <x:xf numFmtId="0" fontId="2" fillId="7" borderId="0" xfId="0" applyNumberFormat="1" applyFont="1" applyFill="1" applyBorder="1"/>
    <x:xf numFmtId="0" fontId="3" fillId="7" borderId="0" xfId="0" applyNumberFormat="1" applyFont="1" applyFill="1" applyBorder="1"/>
    <x:xf numFmtId="0" fontId="2" fillId="8" borderId="0" xfId="0" applyNumberFormat="1" applyFont="1" applyFill="1" applyBorder="1"/>
    <x:xf numFmtId="0" fontId="4" fillId="8" borderId="0" xfId="0" applyNumberFormat="1" applyFont="1" applyFill="1" applyBorder="1"/>
    <x:xf numFmtId="0" fontId="2" fillId="9" borderId="0" xfId="0" applyNumberFormat="1" applyFont="1" applyFill="1" applyBorder="1"/>
    <x:xf numFmtId="0" fontId="3" fillId="9" borderId="0" xfId="0" applyNumberFormat="1" applyFont="1" applyFill="1" applyBorder="1"/>
    <x:xf numFmtId="0" fontId="3" fillId="9" borderId="0" xfId="0" applyNumberFormat="1" applyFont="1" applyFill="1" applyBorder="1" applyAlignment="1">
      <x:alignment wrapText="1"/>
    </x:xf>
    <x:xf numFmtId="206" fontId="2" fillId="0" borderId="0" xfId="0" applyNumberFormat="1" applyFont="1" applyFill="1" applyBorder="1"/>
    <x:xf numFmtId="207" fontId="2" fillId="0" borderId="0" xfId="0" applyNumberFormat="1" applyFont="1" applyFill="1" applyBorder="1"/>
    <x:xf numFmtId="208" fontId="2" fillId="0" borderId="0" xfId="0" applyNumberFormat="1" applyFont="1" applyFill="1" applyBorder="1"/>
    <x:xf numFmtId="201" fontId="2" fillId="0" borderId="0" xfId="0" applyNumberFormat="1" applyFont="1" applyFill="1" applyBorder="1"/>
    <x:xf numFmtId="0" fontId="2" fillId="10" borderId="0" xfId="0" applyNumberFormat="1" applyFont="1" applyFill="1" applyBorder="1"/>
    <x:xf numFmtId="206" fontId="2" fillId="10" borderId="0" xfId="0" applyNumberFormat="1" applyFont="1" applyFill="1" applyBorder="1"/>
    <x:xf numFmtId="207" fontId="2" fillId="10" borderId="0" xfId="0" applyNumberFormat="1" applyFont="1" applyFill="1" applyBorder="1"/>
    <x:xf numFmtId="208" fontId="2" fillId="10" borderId="0" xfId="0" applyNumberFormat="1" applyFont="1" applyFill="1" applyBorder="1"/>
    <x:xf numFmtId="201" fontId="2" fillId="10" borderId="0" xfId="0" applyNumberFormat="1" applyFont="1" applyFill="1" applyBorder="1"/>
    <x:xf numFmtId="209" fontId="2" fillId="0" borderId="0" xfId="0" applyNumberFormat="1" applyFont="1" applyFill="1" applyBorder="1"/>
    <x:xf numFmtId="209" fontId="2" fillId="10" borderId="0" xfId="0" applyNumberFormat="1" applyFont="1" applyFill="1" applyBorder="1"/>
    <x:xf numFmtId="0" fontId="2" fillId="11" borderId="0" xfId="0" applyNumberFormat="1" applyFont="1" applyFill="1" applyBorder="1"/>
    <x:xf numFmtId="0" fontId="2" fillId="11" borderId="0" xfId="0" applyNumberFormat="1" applyFont="1" applyFill="1" applyBorder="1" applyAlignment="1">
      <x:alignment wrapText="1"/>
    </x:xf>
    <x:xf numFmtId="0" fontId="2" fillId="0" borderId="0" xfId="0" applyNumberFormat="1" applyFont="1" applyFill="1" applyBorder="1" applyAlignment="1">
      <x:alignment wrapText="1"/>
    </x:xf>
    <x:xf numFmtId="0" fontId="2" fillId="4" borderId="0" xfId="0" applyNumberFormat="1" applyFont="1" applyFill="1" applyBorder="1"/>
    <x:xf numFmtId="206" fontId="2" fillId="4" borderId="0" xfId="0" applyNumberFormat="1" applyFont="1" applyFill="1" applyBorder="1"/>
    <x:xf numFmtId="207" fontId="2" fillId="4" borderId="0" xfId="0" applyNumberFormat="1" applyFont="1" applyFill="1" applyBorder="1"/>
    <x:xf numFmtId="208" fontId="2" fillId="4" borderId="0" xfId="0" applyNumberFormat="1" applyFont="1" applyFill="1" applyBorder="1"/>
    <x:xf numFmtId="201" fontId="2" fillId="4" borderId="0" xfId="0" applyNumberFormat="1" applyFont="1" applyFill="1" applyBorder="1"/>
    <x:xf numFmtId="209" fontId="2" fillId="4" borderId="0" xfId="0" applyNumberFormat="1" applyFont="1" applyFill="1" applyBorder="1"/>
    <x:xf numFmtId="0" fontId="2" fillId="6" borderId="0" xfId="0" applyNumberFormat="1" applyFont="1" applyFill="1" applyBorder="1"/>
    <x:xf numFmtId="0" fontId="2" fillId="6" borderId="0" xfId="0" applyNumberFormat="1" applyFont="1" applyFill="1" applyBorder="1" applyAlignment="1">
      <x:alignment wrapText="1"/>
    </x:xf>
    <x:xf numFmtId="0" fontId="2" fillId="12" borderId="0" xfId="0" applyNumberFormat="1" applyFont="1" applyFill="1" applyBorder="1"/>
    <x:xf numFmtId="209" fontId="2" fillId="12" borderId="0" xfId="0" applyNumberFormat="1" applyFont="1" applyFill="1" applyBorder="1"/>
    <x:xf numFmtId="207" fontId="2" fillId="12" borderId="0" xfId="0" applyNumberFormat="1" applyFont="1" applyFill="1" applyBorder="1"/>
    <x:xf numFmtId="209" fontId="9" fillId="12" borderId="0" xfId="0" applyNumberFormat="1" applyFont="1" applyFill="1" applyBorder="1"/>
    <x:xf numFmtId="209" fontId="9" fillId="4" borderId="0" xfId="0" applyNumberFormat="1" applyFont="1" applyFill="1" applyBorder="1"/>
    <x:xf numFmtId="0" fontId="3" fillId="13" borderId="0" xfId="0" applyNumberFormat="1" applyFont="1" applyFill="1" applyBorder="1" applyAlignment="1">
      <x:alignment vertical="center"/>
    </x:xf>
    <x:xf numFmtId="0" fontId="4" fillId="14" borderId="0" xfId="0" applyNumberFormat="1" applyFont="1" applyFill="1" applyBorder="1" applyAlignment="1">
      <x:alignment vertical="center"/>
    </x:xf>
    <x:xf numFmtId="0" fontId="10" fillId="14" borderId="0" xfId="0" applyNumberFormat="1" applyFont="1" applyFill="1" applyBorder="1" applyAlignment="1">
      <x:alignment vertical="center"/>
    </x:xf>
    <x:xf numFmtId="0" fontId="11" fillId="0" borderId="0" xfId="0" applyNumberFormat="1" applyFont="1" applyFill="1" applyBorder="1" applyAlignment="1">
      <x:alignment vertical="center"/>
    </x:xf>
    <x:xf numFmtId="0" fontId="2" fillId="15" borderId="0" xfId="0" applyNumberFormat="1" applyFont="1" applyFill="1" applyBorder="1" applyAlignment="1">
      <x:alignment vertical="center" wrapText="1"/>
    </x:xf>
    <x:xf numFmtId="0" fontId="11" fillId="15" borderId="0" xfId="0" applyNumberFormat="1" applyFont="1" applyFill="1" applyBorder="1" applyAlignment="1">
      <x:alignment vertical="center" wrapText="1"/>
    </x:xf>
    <x:xf numFmtId="0" fontId="11" fillId="0" borderId="0" xfId="0" applyNumberFormat="1" applyFont="1" applyFill="1" applyBorder="1" applyAlignment="1">
      <x:alignment vertical="center" wrapText="1"/>
    </x:xf>
    <x:xf numFmtId="0" fontId="3" fillId="16" borderId="0" xfId="0" applyNumberFormat="1" applyFont="1" applyFill="1" applyBorder="1" applyAlignment="1">
      <x:alignment vertical="center" wrapText="1"/>
    </x:xf>
    <x:xf numFmtId="0" fontId="12" fillId="0" borderId="0" xfId="0" applyNumberFormat="1" applyFont="1" applyFill="1" applyBorder="1" applyAlignment="1">
      <x:alignment vertical="center"/>
    </x:xf>
    <x:xf numFmtId="0" fontId="12" fillId="0" borderId="0" xfId="0" applyNumberFormat="1" applyFont="1" applyFill="1" applyBorder="1"/>
    <x:xf numFmtId="200" fontId="3" fillId="13" borderId="0" xfId="0" applyNumberFormat="1" applyFont="1" applyFill="1" applyBorder="1" applyAlignment="1">
      <x:alignment vertical="center"/>
    </x:xf>
    <x:xf numFmtId="201" fontId="3" fillId="13" borderId="0" xfId="0" applyNumberFormat="1" applyFont="1" applyFill="1" applyBorder="1" applyAlignment="1">
      <x:alignment vertical="center"/>
    </x:xf>
    <x:xf numFmtId="202" fontId="3" fillId="13" borderId="0" xfId="0" applyNumberFormat="1" applyFont="1" applyFill="1" applyBorder="1" applyAlignment="1">
      <x:alignment vertical="center"/>
    </x:xf>
    <x:xf numFmtId="202" fontId="11" fillId="0" borderId="0" xfId="0" applyNumberFormat="1" applyFont="1" applyFill="1" applyBorder="1" applyAlignment="1">
      <x:alignment vertical="center"/>
    </x:xf>
    <x:xf numFmtId="203" fontId="11" fillId="0" borderId="0" xfId="0" applyNumberFormat="1" applyFont="1" applyFill="1" applyBorder="1" applyAlignment="1">
      <x:alignment vertical="center"/>
    </x:xf>
    <x:xf numFmtId="0" fontId="6" fillId="14" borderId="0" xfId="0" applyNumberFormat="1" applyFont="1" applyFill="1" applyBorder="1" applyAlignment="1">
      <x:alignment vertical="center"/>
    </x:xf>
    <x:xf numFmtId="0" fontId="12" fillId="14" borderId="0" xfId="0" applyNumberFormat="1" applyFont="1" applyFill="1" applyBorder="1" applyAlignment="1">
      <x:alignment vertical="center"/>
    </x:xf>
    <x:xf numFmtId="203" fontId="2" fillId="14" borderId="0" xfId="0" applyNumberFormat="1" applyFont="1" applyFill="1" applyBorder="1" applyAlignment="1">
      <x:alignment vertical="center"/>
    </x:xf>
    <x:xf numFmtId="203" fontId="11" fillId="14" borderId="0" xfId="0" applyNumberFormat="1" applyFont="1" applyFill="1" applyBorder="1" applyAlignment="1">
      <x:alignment vertical="center"/>
    </x:xf>
    <x:xf numFmtId="202" fontId="6" fillId="14" borderId="0" xfId="0" applyNumberFormat="1" applyFont="1" applyFill="1" applyBorder="1" applyAlignment="1">
      <x:alignment vertical="center"/>
    </x:xf>
    <x:xf numFmtId="202" fontId="12" fillId="14" borderId="0" xfId="0" applyNumberFormat="1" applyFont="1" applyFill="1" applyBorder="1" applyAlignment="1">
      <x:alignment vertical="center"/>
    </x:xf>
    <x:xf numFmtId="203" fontId="6" fillId="14" borderId="0" xfId="0" applyNumberFormat="1" applyFont="1" applyFill="1" applyBorder="1" applyAlignment="1">
      <x:alignment vertical="center"/>
    </x:xf>
    <x:xf numFmtId="203" fontId="12" fillId="14" borderId="0" xfId="0" applyNumberFormat="1" applyFont="1" applyFill="1" applyBorder="1" applyAlignment="1">
      <x:alignment vertical="center"/>
    </x:xf>
    <x:xf numFmtId="0" fontId="2" fillId="15" borderId="0" xfId="0" applyNumberFormat="1" applyFont="1" applyFill="1" applyBorder="1" applyAlignment="1">
      <x:alignment vertical="center"/>
    </x:xf>
    <x:xf numFmtId="202" fontId="6" fillId="15" borderId="0" xfId="0" applyNumberFormat="1" applyFont="1" applyFill="1" applyBorder="1" applyAlignment="1">
      <x:alignment vertical="center"/>
    </x:xf>
    <x:xf numFmtId="0" fontId="6" fillId="15" borderId="0" xfId="0" applyNumberFormat="1" applyFont="1" applyFill="1" applyBorder="1" applyAlignment="1">
      <x:alignment vertical="center"/>
    </x:xf>
    <x:xf numFmtId="202" fontId="2" fillId="15" borderId="0" xfId="0" applyNumberFormat="1" applyFont="1" applyFill="1" applyBorder="1" applyAlignment="1">
      <x:alignment vertical="center"/>
    </x:xf>
    <x:xf numFmtId="203" fontId="2" fillId="15" borderId="0" xfId="0" applyNumberFormat="1" applyFont="1" applyFill="1" applyBorder="1" applyAlignment="1">
      <x:alignment vertical="center"/>
    </x:xf>
    <x:xf numFmtId="0" fontId="11" fillId="15" borderId="0" xfId="0" applyNumberFormat="1" applyFont="1" applyFill="1" applyBorder="1" applyAlignment="1">
      <x:alignment vertical="center"/>
    </x:xf>
    <x:xf numFmtId="202" fontId="12" fillId="15" borderId="0" xfId="0" applyNumberFormat="1" applyFont="1" applyFill="1" applyBorder="1" applyAlignment="1">
      <x:alignment vertical="center"/>
    </x:xf>
    <x:xf numFmtId="0" fontId="12" fillId="15" borderId="0" xfId="0" applyNumberFormat="1" applyFont="1" applyFill="1" applyBorder="1" applyAlignment="1">
      <x:alignment vertical="center"/>
    </x:xf>
    <x:xf numFmtId="202" fontId="11" fillId="15" borderId="0" xfId="0" applyNumberFormat="1" applyFont="1" applyFill="1" applyBorder="1" applyAlignment="1">
      <x:alignment vertical="center"/>
    </x:xf>
    <x:xf numFmtId="203" fontId="11" fillId="15" borderId="0" xfId="0" applyNumberFormat="1" applyFont="1" applyFill="1" applyBorder="1" applyAlignment="1">
      <x:alignment vertical="center"/>
    </x:xf>
    <x:xf numFmtId="204" fontId="11" fillId="0" borderId="0" xfId="0" applyNumberFormat="1" applyFont="1" applyFill="1" applyBorder="1" applyAlignment="1">
      <x:alignment vertical="center" wrapText="1"/>
    </x:xf>
    <x:xf numFmtId="204" fontId="3" fillId="13" borderId="0" xfId="0" applyNumberFormat="1" applyFont="1" applyFill="1" applyBorder="1" applyAlignment="1">
      <x:alignment vertical="center"/>
    </x:xf>
    <x:xf numFmtId="203" fontId="3" fillId="13" borderId="0" xfId="0" applyNumberFormat="1" applyFont="1" applyFill="1" applyBorder="1" applyAlignment="1">
      <x:alignment vertical="center"/>
    </x:xf>
    <x:xf numFmtId="205" fontId="11" fillId="0" borderId="0" xfId="0" applyNumberFormat="1" applyFont="1" applyFill="1" applyBorder="1" applyAlignment="1">
      <x:alignment vertical="center"/>
    </x:xf>
    <x:xf numFmtId="0" fontId="7" fillId="15" borderId="0" xfId="0" applyNumberFormat="1" applyFont="1" applyFill="1" applyBorder="1" applyAlignment="1">
      <x:alignment vertical="center"/>
    </x:xf>
    <x:xf numFmtId="205" fontId="7" fillId="15" borderId="0" xfId="0" applyNumberFormat="1" applyFont="1" applyFill="1" applyBorder="1" applyAlignment="1">
      <x:alignment vertical="center"/>
    </x:xf>
    <x:xf numFmtId="202" fontId="7" fillId="15" borderId="0" xfId="0" applyNumberFormat="1" applyFont="1" applyFill="1" applyBorder="1" applyAlignment="1">
      <x:alignment vertical="center"/>
    </x:xf>
    <x:xf numFmtId="203" fontId="7" fillId="15" borderId="0" xfId="0" applyNumberFormat="1" applyFont="1" applyFill="1" applyBorder="1" applyAlignment="1">
      <x:alignment vertical="center"/>
    </x:xf>
    <x:xf numFmtId="0" fontId="13" fillId="15" borderId="0" xfId="0" applyNumberFormat="1" applyFont="1" applyFill="1" applyBorder="1" applyAlignment="1">
      <x:alignment vertical="center"/>
    </x:xf>
    <x:xf numFmtId="205" fontId="13" fillId="15" borderId="0" xfId="0" applyNumberFormat="1" applyFont="1" applyFill="1" applyBorder="1" applyAlignment="1">
      <x:alignment vertical="center"/>
    </x:xf>
    <x:xf numFmtId="202" fontId="13" fillId="15" borderId="0" xfId="0" applyNumberFormat="1" applyFont="1" applyFill="1" applyBorder="1" applyAlignment="1">
      <x:alignment vertical="center"/>
    </x:xf>
    <x:xf numFmtId="203" fontId="13" fillId="15" borderId="0" xfId="0" applyNumberFormat="1" applyFont="1" applyFill="1" applyBorder="1" applyAlignment="1">
      <x:alignment vertical="center"/>
    </x:xf>
    <x:xf numFmtId="0" fontId="8" fillId="14" borderId="0" xfId="0" applyNumberFormat="1" applyFont="1" applyFill="1" applyBorder="1" applyAlignment="1">
      <x:alignment vertical="center"/>
    </x:xf>
    <x:xf numFmtId="0" fontId="14" fillId="14" borderId="0" xfId="0" applyNumberFormat="1" applyFont="1" applyFill="1" applyBorder="1" applyAlignment="1">
      <x:alignment vertical="center"/>
    </x:xf>
    <x:xf numFmtId="0" fontId="2" fillId="17" borderId="0" xfId="0" applyNumberFormat="1" applyFont="1" applyFill="1" applyBorder="1" applyAlignment="1">
      <x:alignment vertical="center" wrapText="1"/>
    </x:xf>
    <x:xf numFmtId="0" fontId="11" fillId="17" borderId="0" xfId="0" applyNumberFormat="1" applyFont="1" applyFill="1" applyBorder="1" applyAlignment="1">
      <x:alignment vertical="center" wrapText="1"/>
    </x:xf>
    <x:xf numFmtId="201" fontId="11" fillId="0" borderId="0" xfId="0" applyNumberFormat="1" applyFont="1" applyFill="1" applyBorder="1" applyAlignment="1">
      <x:alignment vertical="center"/>
    </x:xf>
    <x:xf numFmtId="204" fontId="11" fillId="0" borderId="0" xfId="0" applyNumberFormat="1" applyFont="1" applyFill="1" applyBorder="1" applyAlignment="1">
      <x:alignment vertical="center"/>
    </x:xf>
    <x:xf numFmtId="0" fontId="3" fillId="13" borderId="0" xfId="0" applyNumberFormat="1" applyFont="1" applyFill="1" applyBorder="1"/>
    <x:xf numFmtId="0" fontId="4" fillId="14" borderId="0" xfId="0" applyNumberFormat="1" applyFont="1" applyFill="1" applyBorder="1"/>
    <x:xf numFmtId="0" fontId="10" fillId="14" borderId="0" xfId="0" applyNumberFormat="1" applyFont="1" applyFill="1" applyBorder="1"/>
    <x:xf numFmtId="0" fontId="11" fillId="0" borderId="0" xfId="0" applyNumberFormat="1" applyFont="1" applyFill="1" applyBorder="1"/>
    <x:xf numFmtId="0" fontId="3" fillId="16" borderId="0" xfId="0" applyNumberFormat="1" applyFont="1" applyFill="1" applyBorder="1" applyAlignment="1">
      <x:alignment wrapText="1"/>
    </x:xf>
    <x:xf numFmtId="206" fontId="11" fillId="0" borderId="0" xfId="0" applyNumberFormat="1" applyFont="1" applyFill="1" applyBorder="1"/>
    <x:xf numFmtId="207" fontId="11" fillId="0" borderId="0" xfId="0" applyNumberFormat="1" applyFont="1" applyFill="1" applyBorder="1"/>
    <x:xf numFmtId="208" fontId="11" fillId="0" borderId="0" xfId="0" applyNumberFormat="1" applyFont="1" applyFill="1" applyBorder="1"/>
    <x:xf numFmtId="201" fontId="11" fillId="0" borderId="0" xfId="0" applyNumberFormat="1" applyFont="1" applyFill="1" applyBorder="1"/>
    <x:xf numFmtId="0" fontId="2" fillId="15" borderId="0" xfId="0" applyNumberFormat="1" applyFont="1" applyFill="1" applyBorder="1"/>
    <x:xf numFmtId="206" fontId="2" fillId="15" borderId="0" xfId="0" applyNumberFormat="1" applyFont="1" applyFill="1" applyBorder="1"/>
    <x:xf numFmtId="207" fontId="2" fillId="15" borderId="0" xfId="0" applyNumberFormat="1" applyFont="1" applyFill="1" applyBorder="1"/>
    <x:xf numFmtId="208" fontId="2" fillId="15" borderId="0" xfId="0" applyNumberFormat="1" applyFont="1" applyFill="1" applyBorder="1"/>
    <x:xf numFmtId="201" fontId="2" fillId="15" borderId="0" xfId="0" applyNumberFormat="1" applyFont="1" applyFill="1" applyBorder="1"/>
    <x:xf numFmtId="0" fontId="11" fillId="15" borderId="0" xfId="0" applyNumberFormat="1" applyFont="1" applyFill="1" applyBorder="1"/>
    <x:xf numFmtId="206" fontId="11" fillId="15" borderId="0" xfId="0" applyNumberFormat="1" applyFont="1" applyFill="1" applyBorder="1"/>
    <x:xf numFmtId="207" fontId="11" fillId="15" borderId="0" xfId="0" applyNumberFormat="1" applyFont="1" applyFill="1" applyBorder="1"/>
    <x:xf numFmtId="208" fontId="11" fillId="15" borderId="0" xfId="0" applyNumberFormat="1" applyFont="1" applyFill="1" applyBorder="1"/>
    <x:xf numFmtId="201" fontId="11" fillId="15" borderId="0" xfId="0" applyNumberFormat="1" applyFont="1" applyFill="1" applyBorder="1"/>
    <x:xf numFmtId="209" fontId="11" fillId="0" borderId="0" xfId="0" applyNumberFormat="1" applyFont="1" applyFill="1" applyBorder="1"/>
    <x:xf numFmtId="209" fontId="2" fillId="15" borderId="0" xfId="0" applyNumberFormat="1" applyFont="1" applyFill="1" applyBorder="1"/>
    <x:xf numFmtId="209" fontId="11" fillId="15" borderId="0" xfId="0" applyNumberFormat="1" applyFont="1" applyFill="1" applyBorder="1"/>
    <x:xf numFmtId="209" fontId="9" fillId="15" borderId="0" xfId="0" applyNumberFormat="1" applyFont="1" applyFill="1" applyBorder="1"/>
    <x:xf numFmtId="209" fontId="12" fillId="15" borderId="0" xfId="0" applyNumberFormat="1" applyFont="1" applyFill="1" applyBorder="1"/>
    <x:xf numFmtId="0" fontId="3" fillId="16" borderId="0" xfId="0" applyNumberFormat="1" applyFont="1" applyFill="1" applyBorder="1"/>
    <x:xf numFmtId="0" fontId="11" fillId="0" borderId="0" xfId="0" applyNumberFormat="1" applyFont="1" applyFill="1" applyBorder="1" applyAlignment="1">
      <x:alignment wrapText="1"/>
    </x:xf>
    <x:xf numFmtId="0" fontId="2" fillId="17" borderId="0" xfId="0" applyNumberFormat="1" applyFont="1" applyFill="1" applyBorder="1" applyAlignment="1">
      <x:alignment wrapText="1"/>
    </x:xf>
    <x:xf numFmtId="0" fontId="11" fillId="17"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df264afaeb04e62" /><Relationship Type="http://schemas.openxmlformats.org/officeDocument/2006/relationships/theme" Target="/xl/theme/theme1.xml" Id="R5582a3ede5d64cf1" /><Relationship Type="http://schemas.openxmlformats.org/officeDocument/2006/relationships/sharedStrings" Target="/xl/sharedStrings.xml" Id="R728287120f534ad5" /><Relationship Type="http://schemas.openxmlformats.org/officeDocument/2006/relationships/worksheet" Target="/xl/worksheets/sheet1.xml" Id="R38832b3835df47c2" /><Relationship Type="http://schemas.openxmlformats.org/officeDocument/2006/relationships/worksheet" Target="/xl/worksheets/sheet2.xml" Id="R0f206fd7023346c3" /><Relationship Type="http://schemas.openxmlformats.org/officeDocument/2006/relationships/worksheet" Target="/xl/worksheets/sheet3.xml" Id="R768f7af1358f4910" /><Relationship Type="http://schemas.openxmlformats.org/officeDocument/2006/relationships/worksheet" Target="/xl/worksheets/sheet4.xml" Id="R3454ac042b8d411a" /><Relationship Type="http://schemas.openxmlformats.org/officeDocument/2006/relationships/worksheet" Target="/xl/worksheets/sheet5.xml" Id="R23bffe7adaa64e89" /><Relationship Type="http://schemas.openxmlformats.org/officeDocument/2006/relationships/worksheet" Target="/xl/worksheets/sheet6.xml" Id="Rd2f8c924f181407e" /><Relationship Type="http://schemas.openxmlformats.org/officeDocument/2006/relationships/worksheet" Target="/xl/worksheets/sheet7.xml" Id="R9905e0802f114e9c" /><Relationship Type="http://schemas.openxmlformats.org/officeDocument/2006/relationships/worksheet" Target="/xl/worksheets/sheet8.xml" Id="Rd6a1a2a76839415f" /><Relationship Type="http://schemas.openxmlformats.org/officeDocument/2006/relationships/worksheet" Target="/xl/worksheets/sheet9.xml" Id="R4ae79fb45c4042df" /><Relationship Type="http://schemas.openxmlformats.org/officeDocument/2006/relationships/worksheet" Target="/xl/worksheets/sheet10.xml" Id="Rc0becbead62d4e24" /><Relationship Type="http://schemas.openxmlformats.org/officeDocument/2006/relationships/worksheet" Target="/xl/worksheets/sheet11.xml" Id="R1d3d3dc9e4324e75" /><Relationship Type="http://schemas.openxmlformats.org/officeDocument/2006/relationships/worksheet" Target="/xl/worksheets/sheet12.xml" Id="Ra2b7bfa986384f31" /><Relationship Type="http://schemas.openxmlformats.org/officeDocument/2006/relationships/worksheet" Target="/xl/worksheets/sheet13.xml" Id="R21b344ae77484d66" /></Relationships>
</file>

<file path=xl/drawings/_rels/drawing1.xml.rels>&#65279;<?xml version="1.0" encoding="utf-8"?><Relationships xmlns="http://schemas.openxmlformats.org/package/2006/relationships"><Relationship Type="http://schemas.openxmlformats.org/officeDocument/2006/relationships/chart" Target="/xl/drawings/charts/chart1.xml" Id="R7797b9fcbe894e48"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Unfilled supply</c:v>
          </c:tx>
          <c:cat>
            <c:strRef>
              <c:f>'Dashboard'!$A$9:$A$12</c:f>
              <c:strCache>
                <c:ptCount val="0"/>
              </c:strCache>
            </c:strRef>
          </c:cat>
          <c:val>
            <c:numRef>
              <c:f>'Dashboard'!$B$9:$B$12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27</xdr:row>
      <xdr:rowOff>0</xdr:rowOff>
    </xdr:from>
    <xdr:to>
      <xdr:col>6</xdr:col>
      <xdr:colOff>0</xdr:colOff>
      <xdr:row>43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797b9fcbe894e48"/>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0.xml.rels>&#65279;<?xml version="1.0" encoding="utf-8"?><Relationships xmlns="http://schemas.openxmlformats.org/package/2006/relationships"><Relationship Type="http://schemas.openxmlformats.org/officeDocument/2006/relationships/drawing" Target="/xl/drawings/drawing1.xml" Id="R70cd74b727404e26" /></Relationships>
</file>

<file path=xl/worksheets/sheet1.xml><?xml version="1.0" encoding="utf-8"?>
<x:worksheet xmlns:x="http://schemas.openxmlformats.org/spreadsheetml/2006/main">
  <x:sheetFormatPr defaultRowHeight="15"/>
  <x:cols>
    <x:col min="1" max="1" width="27" hidden="0" customWidth="1"/>
    <x:col min="2" max="2" width="39" hidden="0" customWidth="1"/>
    <x:col min="3" max="3" width="25" hidden="0" customWidth="1"/>
    <x:col min="4" max="4" width="24" hidden="0" customWidth="1"/>
    <x:col min="5" max="5" width="18" hidden="0" customWidth="1"/>
    <x:col min="6" max="6" width="18" hidden="0" customWidth="1"/>
    <x:col min="7" max="7" width="18" hidden="0" customWidth="1"/>
    <x:col min="8" max="8" width="18" hidden="0" customWidth="1"/>
  </x:cols>
  <x:sheetData>
    <x:row r="1" ht="29" customHeight="1">
      <x:c r="A1" s="133" t="str">
        <x:v>U.S. ANTIMONY  |  CASE MODEL GUIDE</x:v>
      </x:c>
      <x:c r="B1" s="133"/>
      <x:c r="C1" s="133"/>
      <x:c r="D1" s="133"/>
      <x:c r="E1" s="133"/>
      <x:c r="F1" s="133"/>
      <x:c r="G1" s="133"/>
      <x:c r="H1" s="133"/>
    </x:row>
    <x:row r="2" ht="29" customHeight="1">
      <x:c r="A2" s="133"/>
      <x:c r="B2" s="133"/>
      <x:c r="C2" s="133"/>
      <x:c r="D2" s="133"/>
      <x:c r="E2" s="133"/>
      <x:c r="F2" s="133"/>
      <x:c r="G2" s="133"/>
      <x:c r="H2" s="133"/>
    </x:row>
    <x:row r="3" ht="25" customHeight="1">
      <x:c r="A3" s="135" t="str">
        <x:v>PORTFOLIO RESEARCH MODEL  •  4 NOVEMBER 2026</x:v>
      </x:c>
      <x:c r="B3" s="135"/>
      <x:c r="C3" s="135"/>
      <x:c r="D3" s="135"/>
      <x:c r="E3" s="135"/>
      <x:c r="F3" s="135"/>
      <x:c r="G3" s="135"/>
      <x:c r="H3" s="135"/>
    </x:row>
    <x:row r="4" ht="20" customHeight="1">
      <x:c r="A4" s="136"/>
      <x:c r="B4" s="136"/>
      <x:c r="C4" s="136"/>
      <x:c r="D4" s="136"/>
      <x:c r="E4" s="136"/>
      <x:c r="F4" s="136"/>
      <x:c r="G4" s="136"/>
      <x:c r="H4" s="136"/>
    </x:row>
    <x:row r="5" ht="20" customHeight="1">
      <x:c r="A5" s="136" t="str">
        <x:v>Decision</x:v>
      </x:c>
      <x:c r="B5" s="136" t="str">
        <x:v>How to secure 2027–2031 antimony input supply for a hypothetical U.S. defense manufacturer</x:v>
      </x:c>
      <x:c r="C5" s="136"/>
      <x:c r="D5" s="136"/>
      <x:c r="E5" s="136"/>
      <x:c r="F5" s="136"/>
      <x:c r="G5" s="136"/>
      <x:c r="H5" s="136"/>
    </x:row>
    <x:row r="6" ht="20" customHeight="1">
      <x:c r="A6" s="136" t="str">
        <x:v>Workbook logic</x:v>
      </x:c>
      <x:c r="B6" s="136" t="str">
        <x:v>Cases × scenarios × years; independently reset inventory for each annual event</x:v>
      </x:c>
      <x:c r="C6" s="136"/>
      <x:c r="D6" s="136"/>
      <x:c r="E6" s="136"/>
      <x:c r="F6" s="136"/>
      <x:c r="G6" s="136"/>
      <x:c r="H6" s="136"/>
    </x:row>
    <x:row r="7" ht="20" customHeight="1">
      <x:c r="A7" s="136" t="str">
        <x:v>Model basis</x:v>
      </x:c>
      <x:c r="B7" s="136" t="str">
        <x:v>Metric tons of contained Sb-equivalent; antimony metal price is proxy only</x:v>
      </x:c>
      <x:c r="C7" s="136"/>
      <x:c r="D7" s="136"/>
      <x:c r="E7" s="136"/>
      <x:c r="F7" s="136"/>
      <x:c r="G7" s="136"/>
      <x:c r="H7" s="136"/>
    </x:row>
    <x:row r="8" ht="20" customHeight="1">
      <x:c r="A8" s="136" t="str">
        <x:v>Editable inputs</x:v>
      </x:c>
      <x:c r="B8" s="136" t="str">
        <x:v>Inputs, Options, Scenarios, Ramp, and Sensitivity axes</x:v>
      </x:c>
      <x:c r="C8" s="136"/>
      <x:c r="D8" s="136"/>
      <x:c r="E8" s="136"/>
      <x:c r="F8" s="136"/>
      <x:c r="G8" s="136"/>
      <x:c r="H8" s="136"/>
    </x:row>
    <x:row r="9" ht="20" customHeight="1">
      <x:c r="A9" s="136" t="str">
        <x:v>Observed sources</x:v>
      </x:c>
      <x:c r="B9" s="136" t="str">
        <x:v>History, Financing, Sources (source dates and links)</x:v>
      </x:c>
      <x:c r="C9" s="136"/>
      <x:c r="D9" s="136"/>
      <x:c r="E9" s="136"/>
      <x:c r="F9" s="136"/>
      <x:c r="G9" s="136"/>
      <x:c r="H9" s="136"/>
    </x:row>
    <x:row r="10" ht="20" customHeight="1">
      <x:c r="A10" s="136" t="str">
        <x:v>Decision year</x:v>
      </x:c>
      <x:c r="B10" s="136" t="str">
        <x:v>Inputs!B12 (default 2030); Dashboard uses dynamic SUMIFS</x:v>
      </x:c>
      <x:c r="C10" s="136"/>
      <x:c r="D10" s="136"/>
      <x:c r="E10" s="136"/>
      <x:c r="F10" s="136"/>
      <x:c r="G10" s="136"/>
      <x:c r="H10" s="136"/>
    </x:row>
    <x:row r="11" ht="20" customHeight="1">
      <x:c r="A11" s="136" t="str">
        <x:v>Base strategy</x:v>
      </x:c>
      <x:c r="B11" s="136" t="str">
        <x:v>Domestic, alternative import and incumbent shares sum to 100%; qualification determines which lanes are usable</x:v>
      </x:c>
      <x:c r="C11" s="136"/>
      <x:c r="D11" s="136"/>
      <x:c r="E11" s="136"/>
      <x:c r="F11" s="136"/>
      <x:c r="G11" s="136"/>
      <x:c r="H11" s="136"/>
    </x:row>
    <x:row r="12" ht="20" customHeight="1">
      <x:c r="A12" s="136" t="str">
        <x:v>Unready domestic</x:v>
      </x:c>
      <x:c r="B12" s="136" t="str">
        <x:v>Target share returns to the incumbent lane until ramp qualifies it</x:v>
      </x:c>
      <x:c r="C12" s="136"/>
      <x:c r="D12" s="136"/>
      <x:c r="E12" s="136"/>
      <x:c r="F12" s="136"/>
      <x:c r="G12" s="136"/>
      <x:c r="H12" s="136"/>
    </x:row>
    <x:row r="13" ht="20" customHeight="1">
      <x:c r="A13" s="136" t="str">
        <x:v>Supply shock</x:v>
      </x:c>
      <x:c r="B13" s="136" t="str">
        <x:v>(Demand × disrupted months / 12) × supplier-share-weighted curtailment</x:v>
      </x:c>
      <x:c r="C13" s="136"/>
      <x:c r="D13" s="136"/>
      <x:c r="E13" s="136"/>
      <x:c r="F13" s="136"/>
      <x:c r="G13" s="136"/>
      <x:c r="H13" s="136"/>
    </x:row>
    <x:row r="14" ht="20" customHeight="1">
      <x:c r="A14" s="136" t="str">
        <x:v>Inventory</x:v>
      </x:c>
      <x:c r="B14" s="136" t="str">
        <x:v>Beginning buffer = annual demand × months held / 12; used first</x:v>
      </x:c>
      <x:c r="C14" s="136"/>
      <x:c r="D14" s="136"/>
      <x:c r="E14" s="136"/>
      <x:c r="F14" s="136"/>
      <x:c r="G14" s="136"/>
      <x:c r="H14" s="136"/>
    </x:row>
    <x:row r="15" ht="20" customHeight="1">
      <x:c r="A15" s="136" t="str">
        <x:v>Emergency procurement</x:v>
      </x:c>
      <x:c r="B15" s="136" t="str">
        <x:v>A fraction of remaining loss covered at illustrative spot premium</x:v>
      </x:c>
      <x:c r="C15" s="136"/>
      <x:c r="D15" s="136"/>
      <x:c r="E15" s="136"/>
      <x:c r="F15" s="136"/>
      <x:c r="G15" s="136"/>
      <x:c r="H15" s="136"/>
    </x:row>
    <x:row r="16" ht="20" customHeight="1">
      <x:c r="A16" s="136" t="str">
        <x:v>Residual gap</x:v>
      </x:c>
      <x:c r="B16" s="136" t="str">
        <x:v>Shortfall after buffer and emergency procurement (t Sb-equivalent)</x:v>
      </x:c>
      <x:c r="C16" s="136"/>
      <x:c r="D16" s="136"/>
      <x:c r="E16" s="136"/>
      <x:c r="F16" s="136"/>
      <x:c r="G16" s="136"/>
      <x:c r="H16" s="136"/>
    </x:row>
    <x:row r="17" ht="20" customHeight="1">
      <x:c r="A17" s="136" t="str">
        <x:v>Incremental spend</x:v>
      </x:c>
      <x:c r="B17" s="136" t="str">
        <x:v>Planned sourcing premiums + inventory carrying expense + event-specific emergency procurement markup</x:v>
      </x:c>
      <x:c r="C17" s="136"/>
      <x:c r="D17" s="136"/>
      <x:c r="E17" s="136"/>
      <x:c r="F17" s="136"/>
      <x:c r="G17" s="136"/>
      <x:c r="H17" s="136"/>
    </x:row>
    <x:row r="18" ht="20" customHeight="1">
      <x:c r="A18" s="136" t="str">
        <x:v>Cash tied up</x:v>
      </x:c>
      <x:c r="B18" s="136" t="str">
        <x:v>Five-month stock capital is a balance-sheet commitment; an optional sixth month depends on risk evidence</x:v>
      </x:c>
      <x:c r="C18" s="136"/>
      <x:c r="D18" s="136"/>
      <x:c r="E18" s="136"/>
      <x:c r="F18" s="136"/>
      <x:c r="G18" s="136"/>
      <x:c r="H18" s="136"/>
    </x:row>
    <x:row r="19" ht="20" customHeight="1">
      <x:c r="A19" s="136" t="str">
        <x:v>Decision hurdle</x:v>
      </x:c>
      <x:c r="B19" s="136" t="str">
        <x:v>Residual ≤5 t/year and inventory cash ≤$3m, both hypothetical buyer constraints</x:v>
      </x:c>
      <x:c r="C19" s="136"/>
      <x:c r="D19" s="136"/>
      <x:c r="E19" s="136"/>
      <x:c r="F19" s="136"/>
      <x:c r="G19" s="136"/>
      <x:c r="H19" s="136"/>
    </x:row>
    <x:row r="20" ht="20" customHeight="1">
      <x:c r="A20" s="136"/>
      <x:c r="B20" s="136"/>
      <x:c r="C20" s="136"/>
      <x:c r="D20" s="136"/>
      <x:c r="E20" s="136"/>
      <x:c r="F20" s="136"/>
      <x:c r="G20" s="136"/>
      <x:c r="H20" s="136"/>
    </x:row>
    <x:row r="21" ht="30" customHeight="1">
      <x:c r="A21" s="138" t="str">
        <x:v>DECISION DEPENDENCY  |  Inventory, sourcing and offtake require buyer-grade validation, shelf-life, storage, firm supply terms and export-control clearance before spending.</x:v>
      </x:c>
      <x:c r="B21" s="138"/>
      <x:c r="C21" s="138"/>
      <x:c r="D21" s="138"/>
      <x:c r="E21" s="138"/>
      <x:c r="F21" s="138"/>
      <x:c r="G21" s="138"/>
      <x:c r="H21" s="138"/>
    </x:row>
    <x:row r="22" ht="30" customHeight="1">
      <x:c r="A22" s="138"/>
      <x:c r="B22" s="138"/>
      <x:c r="C22" s="138"/>
      <x:c r="D22" s="138"/>
      <x:c r="E22" s="138"/>
      <x:c r="F22" s="138"/>
      <x:c r="G22" s="138"/>
      <x:c r="H22" s="138"/>
    </x:row>
    <x:row r="23" ht="20" customHeight="1">
      <x:c r="A23" s="136"/>
      <x:c r="B23" s="136"/>
      <x:c r="C23" s="136"/>
      <x:c r="D23" s="136"/>
      <x:c r="E23" s="136"/>
      <x:c r="F23" s="136"/>
      <x:c r="G23" s="136"/>
      <x:c r="H23" s="136"/>
    </x:row>
    <x:row r="24" ht="20" customHeight="1">
      <x:c r="A24" s="139" t="str">
        <x:v>MODEL CONTROL  |  The main Cases grid assumes the 45% alternative lane is qualified from 2027. Policy Tests row 20 evaluates no alternative access; this changes the near-term decision. Supplier qualification is a precondition for applying the five-month recommendation.</x:v>
      </x:c>
      <x:c r="B24" s="139"/>
      <x:c r="C24" s="139"/>
      <x:c r="D24" s="139"/>
      <x:c r="E24" s="139"/>
      <x:c r="F24" s="139"/>
      <x:c r="G24" s="139"/>
      <x:c r="H24" s="139"/>
    </x:row>
    <x:row r="25" ht="20" customHeight="1">
      <x:c r="A25" s="139"/>
      <x:c r="B25" s="139"/>
      <x:c r="C25" s="139"/>
      <x:c r="D25" s="139"/>
      <x:c r="E25" s="139"/>
      <x:c r="F25" s="139"/>
      <x:c r="G25" s="139"/>
      <x:c r="H25" s="139"/>
    </x:row>
    <x:row r="26" ht="20" customHeight="1">
      <x:c r="A26" s="136"/>
      <x:c r="B26" s="136"/>
      <x:c r="C26" s="136"/>
      <x:c r="D26" s="136"/>
      <x:c r="E26" s="136"/>
      <x:c r="F26" s="136"/>
      <x:c r="G26" s="136"/>
      <x:c r="H26" s="136"/>
    </x:row>
    <x:row r="27" ht="20" customHeight="1">
      <x:c r="A27" s="136"/>
      <x:c r="B27" s="136"/>
      <x:c r="C27" s="136"/>
      <x:c r="D27" s="136"/>
      <x:c r="E27" s="136"/>
      <x:c r="F27" s="136"/>
      <x:c r="G27" s="136"/>
      <x:c r="H27" s="136"/>
    </x:row>
    <x:row r="28" ht="20" customHeight="1">
      <x:c r="A28" s="136"/>
      <x:c r="B28" s="136"/>
      <x:c r="C28" s="136"/>
      <x:c r="D28" s="136"/>
      <x:c r="E28" s="136"/>
      <x:c r="F28" s="136"/>
      <x:c r="G28" s="136"/>
      <x:c r="H28" s="136"/>
    </x:row>
    <x:row r="29" ht="20" customHeight="1">
      <x:c r="A29" s="136"/>
      <x:c r="B29" s="136"/>
      <x:c r="C29" s="136"/>
      <x:c r="D29" s="136"/>
      <x:c r="E29" s="136"/>
      <x:c r="F29" s="136"/>
      <x:c r="G29" s="136"/>
      <x:c r="H29" s="136"/>
    </x:row>
    <x:row r="30" ht="20" customHeight="1">
      <x:c r="A30" s="136"/>
      <x:c r="B30" s="136"/>
      <x:c r="C30" s="136"/>
      <x:c r="D30" s="136"/>
      <x:c r="E30" s="136"/>
      <x:c r="F30" s="136"/>
      <x:c r="G30" s="136"/>
      <x:c r="H30" s="136"/>
    </x:row>
  </x:sheetData>
  <x:mergeCells>
    <x:mergeCell ref="A1:H2"/>
    <x:mergeCell ref="A21:H22"/>
    <x:mergeCell ref="A24:H25"/>
  </x:mergeCells>
  <x:pageMargins left="0.7" right="0.7" top="0.75" bottom="0.75" header="0.3" footer="0.3"/>
</x:worksheet>
</file>

<file path=xl/worksheets/sheet2.xml><?xml version="1.0" encoding="utf-8"?>
<x:worksheet xmlns:x="http://schemas.openxmlformats.org/spreadsheetml/2006/main">
  <x:sheetFormatPr defaultRowHeight="15"/>
  <x:cols>
    <x:col min="1" max="1" width="8" hidden="0" customWidth="1"/>
    <x:col min="2" max="2" width="28" hidden="0" customWidth="1"/>
    <x:col min="3" max="3" width="48" hidden="0" customWidth="1"/>
    <x:col min="4" max="4" width="19" hidden="0" customWidth="1"/>
    <x:col min="5" max="5" width="16" hidden="0" customWidth="1"/>
    <x:col min="6" max="6" width="26" hidden="0" customWidth="1"/>
    <x:col min="7" max="7" width="19" hidden="0" customWidth="1"/>
    <x:col min="8" max="8" width="54" hidden="0" customWidth="1"/>
    <x:col min="9" max="9" width="60" hidden="0" customWidth="1"/>
  </x:cols>
  <x:sheetData>
    <x:row r="1" ht="29" customHeight="1">
      <x:c r="A1" s="133" t="str">
        <x:v>SOURCE REGISTER  |  ORIGINALS AND PROVENANCE</x:v>
      </x:c>
      <x:c r="B1" s="133"/>
      <x:c r="C1" s="133"/>
      <x:c r="D1" s="133"/>
      <x:c r="E1" s="133"/>
      <x:c r="F1" s="133"/>
      <x:c r="G1" s="133"/>
      <x:c r="H1" s="133"/>
      <x:c r="I1" s="133"/>
    </x:row>
    <x:row r="2" ht="29" customHeight="1">
      <x:c r="A2" s="133"/>
      <x:c r="B2" s="133"/>
      <x:c r="C2" s="133"/>
      <x:c r="D2" s="133"/>
      <x:c r="E2" s="133"/>
      <x:c r="F2" s="133"/>
      <x:c r="G2" s="133"/>
      <x:c r="H2" s="133"/>
      <x:c r="I2" s="133"/>
    </x:row>
    <x:row r="3" ht="25" customHeight="1">
      <x:c r="A3" s="135" t="str">
        <x:v>Source URLs and retrieval dates • All government/corporate sources verified 2026-11-04</x:v>
      </x:c>
      <x:c r="B3" s="135"/>
      <x:c r="C3" s="135"/>
      <x:c r="D3" s="135"/>
      <x:c r="E3" s="135"/>
      <x:c r="F3" s="135"/>
      <x:c r="G3" s="135"/>
      <x:c r="H3" s="135"/>
      <x:c r="I3" s="135"/>
    </x:row>
    <x:row r="4" ht="20" customHeight="1">
      <x:c r="A4" s="136"/>
      <x:c r="B4" s="136"/>
      <x:c r="C4" s="136"/>
      <x:c r="D4" s="136"/>
      <x:c r="E4" s="136"/>
      <x:c r="F4" s="136"/>
      <x:c r="G4" s="136"/>
      <x:c r="H4" s="136"/>
      <x:c r="I4" s="136"/>
    </x:row>
    <x:row r="5" ht="26" customHeight="1">
      <x:c r="A5" s="140" t="str">
        <x:v>ID</x:v>
      </x:c>
      <x:c r="B5" s="140" t="str">
        <x:v>Publisher</x:v>
      </x:c>
      <x:c r="C5" s="140" t="str">
        <x:v>Source</x:v>
      </x:c>
      <x:c r="D5" s="140" t="str">
        <x:v>Publication / update</x:v>
      </x:c>
      <x:c r="E5" s="140" t="str">
        <x:v>Retrieved</x:v>
      </x:c>
      <x:c r="F5" s="140" t="str">
        <x:v>Evidence class</x:v>
      </x:c>
      <x:c r="G5" s="140" t="str">
        <x:v>Open original</x:v>
      </x:c>
      <x:c r="H5" s="140" t="str">
        <x:v>Source URL (copyable)</x:v>
      </x:c>
      <x:c r="I5" s="140" t="str">
        <x:v>Model use / classification</x:v>
      </x:c>
    </x:row>
    <x:row r="6" ht="33" customHeight="1">
      <x:c r="A6" s="136" t="str">
        <x:v>S01</x:v>
      </x:c>
      <x:c r="B6" s="139" t="str">
        <x:v>U.S. Geological Survey</x:v>
      </x:c>
      <x:c r="C6" s="139" t="str">
        <x:v>MCS 2026, Antimony chapter</x:v>
      </x:c>
      <x:c r="D6" s="139" t="str">
        <x:v>2026-02-06 (v1); revised through May</x:v>
      </x:c>
      <x:c r="E6" s="139" t="str">
        <x:v>2026-11-04</x:v>
      </x:c>
      <x:c r="F6" s="139" t="str">
        <x:v>Observed statistics</x:v>
      </x:c>
      <x:c r="G6" s="141" t="e">
        <x:f>HYPERLINK(H6,"OPEN SOURCE")</x:f>
        <x:v>HYPERLINK is not implemented. linkLocation=https://pubs.usgs.gov/periodicals/mcs2026/mcs2026.pdf, friendlyName=OPEN SOURCE</x:v>
      </x:c>
      <x:c r="H6" s="141" t="str">
        <x:v>https://pubs.usgs.gov/periodicals/mcs2026/mcs2026.pdf</x:v>
      </x:c>
      <x:c r="I6" s="139" t="str">
        <x:v>2021–2025 imports, prices, net reliance; world mining; U.S. import sources</x:v>
      </x:c>
    </x:row>
    <x:row r="7" ht="33" customHeight="1">
      <x:c r="A7" s="136" t="str">
        <x:v>S02</x:v>
      </x:c>
      <x:c r="B7" s="139" t="str">
        <x:v>U.S. Geological Survey</x:v>
      </x:c>
      <x:c r="C7" s="139" t="str">
        <x:v>MCS 2026 data release</x:v>
      </x:c>
      <x:c r="D7" s="139" t="str">
        <x:v>2026-09-18</x:v>
      </x:c>
      <x:c r="E7" s="139" t="str">
        <x:v>2026-11-04</x:v>
      </x:c>
      <x:c r="F7" s="139" t="str">
        <x:v>Official structured data</x:v>
      </x:c>
      <x:c r="G7" s="141" t="e">
        <x:f>HYPERLINK(H7,"OPEN SOURCE")</x:f>
        <x:v>HYPERLINK is not implemented. linkLocation=https://www.usgs.gov/data/mineral-commodity-summaries-2026-data-release, friendlyName=OPEN SOURCE</x:v>
      </x:c>
      <x:c r="H7" s="141" t="str">
        <x:v>https://www.usgs.gov/data/mineral-commodity-summaries-2026-data-release</x:v>
      </x:c>
      <x:c r="I7" s="139" t="str">
        <x:v>MCS tables with metadata, revisions</x:v>
      </x:c>
    </x:row>
    <x:row r="8" ht="33" customHeight="1">
      <x:c r="A8" s="136" t="str">
        <x:v>S03</x:v>
      </x:c>
      <x:c r="B8" s="139" t="str">
        <x:v>Strategic Materials Policy Tracker</x:v>
      </x:c>
      <x:c r="C8" s="139" t="str">
        <x:v>Antimony material page; corpus revised 3 Nov 2026</x:v>
      </x:c>
      <x:c r="D8" s="139" t="str">
        <x:v>2026-11-03</x:v>
      </x:c>
      <x:c r="E8" s="139" t="str">
        <x:v>2026-11-04</x:v>
      </x:c>
      <x:c r="F8" s="139" t="str">
        <x:v>Evidence synthesis</x:v>
      </x:c>
      <x:c r="G8" s="141" t="e">
        <x:f>HYPERLINK(H8,"OPEN SOURCE")</x:f>
        <x:v>HYPERLINK is not implemented. linkLocation=https://strategic-materials-policy-tracker.vercel.app/materials/antimony, friendlyName=OPEN SOURCE</x:v>
      </x:c>
      <x:c r="H8" s="141" t="str">
        <x:v>https://strategic-materials-policy-tracker.vercel.app/materials/antimony</x:v>
      </x:c>
      <x:c r="I8" s="139" t="str">
        <x:v>Classification of financing, projects and export-control clauses</x:v>
      </x:c>
    </x:row>
    <x:row r="9" ht="33" customHeight="1">
      <x:c r="A9" s="136" t="str">
        <x:v>S04</x:v>
      </x:c>
      <x:c r="B9" s="139" t="str">
        <x:v>Export-Import Bank of the United States</x:v>
      </x:c>
      <x:c r="C9" s="139" t="str">
        <x:v>Project and structured finance transactions</x:v>
      </x:c>
      <x:c r="D9" s="139" t="str">
        <x:v>2026-07-02 update</x:v>
      </x:c>
      <x:c r="E9" s="139" t="str">
        <x:v>2026-11-04</x:v>
      </x:c>
      <x:c r="F9" s="139" t="str">
        <x:v>Official finance register</x:v>
      </x:c>
      <x:c r="G9" s="141" t="e">
        <x:f>HYPERLINK(H9,"OPEN SOURCE")</x:f>
        <x:v>HYPERLINK is not implemented. linkLocation=https://www.exim.gov/solutions/project-and-structured-finance/transactions, friendlyName=OPEN SOURCE</x:v>
      </x:c>
      <x:c r="H9" s="141" t="str">
        <x:v>https://www.exim.gov/solutions/project-and-structured-finance/transactions</x:v>
      </x:c>
      <x:c r="I9" s="139" t="str">
        <x:v>Perpetua US$2,906 million, status Authorized</x:v>
      </x:c>
    </x:row>
    <x:row r="10" ht="33" customHeight="1">
      <x:c r="A10" s="136" t="str">
        <x:v>S05</x:v>
      </x:c>
      <x:c r="B10" s="139" t="str">
        <x:v>Export-Import Bank of the United States</x:v>
      </x:c>
      <x:c r="C10" s="139" t="str">
        <x:v>Board minutes 21 May 2026</x:v>
      </x:c>
      <x:c r="D10" s="139" t="str">
        <x:v>2026-05-21</x:v>
      </x:c>
      <x:c r="E10" s="139" t="str">
        <x:v>2026-11-04</x:v>
      </x:c>
      <x:c r="F10" s="139" t="str">
        <x:v>Official board record</x:v>
      </x:c>
      <x:c r="G10" s="141" t="e">
        <x:f>HYPERLINK(H10,"OPEN SOURCE")</x:f>
        <x:v>HYPERLINK is not implemented. linkLocation=https://www.exim.gov/news/minutes/board-meeting-minutes-2026-05-21, friendlyName=OPEN SOURCE</x:v>
      </x:c>
      <x:c r="H10" s="141" t="str">
        <x:v>https://www.exim.gov/news/minutes/board-meeting-minutes-2026-05-21</x:v>
      </x:c>
      <x:c r="I10" s="139" t="str">
        <x:v>Perpetua direct loan final approval at board level</x:v>
      </x:c>
    </x:row>
    <x:row r="11" ht="33" customHeight="1">
      <x:c r="A11" s="136" t="str">
        <x:v>S06</x:v>
      </x:c>
      <x:c r="B11" s="139" t="str">
        <x:v>Perpetua Resources / SEC EDGAR</x:v>
      </x:c>
      <x:c r="C11" s="139" t="str">
        <x:v>Form 10-Q for quarter ended 30 June 2026</x:v>
      </x:c>
      <x:c r="D11" s="139" t="str">
        <x:v>2026-08-14</x:v>
      </x:c>
      <x:c r="E11" s="139" t="str">
        <x:v>2026-11-04</x:v>
      </x:c>
      <x:c r="F11" s="139" t="str">
        <x:v>Filed company disclosure</x:v>
      </x:c>
      <x:c r="G11" s="141" t="e">
        <x:f>HYPERLINK(H11,"OPEN SOURCE")</x:f>
        <x:v>HYPERLINK is not implemented. linkLocation=https://www.sec.gov/Archives/edgar/data/1526243/000110465926097134/ppta-20260630x10q.htm, friendlyName=OPEN SOURCE</x:v>
      </x:c>
      <x:c r="H11" s="141" t="str">
        <x:v>https://www.sec.gov/Archives/edgar/data/1526243/000110465926097134/ppta-20260630x10q.htm</x:v>
      </x:c>
      <x:c r="I11" s="139" t="str">
        <x:v>Loan closing conditions; DPA $59.2m disbursed; pilot OTIA ~$27.1m current estimate</x:v>
      </x:c>
    </x:row>
    <x:row r="12" ht="33" customHeight="1">
      <x:c r="A12" s="136" t="str">
        <x:v>S07</x:v>
      </x:c>
      <x:c r="B12" s="139" t="str">
        <x:v>Idaho National Laboratory</x:v>
      </x:c>
      <x:c r="C12" s="139" t="str">
        <x:v>Pilot plant ribbon cutting</x:v>
      </x:c>
      <x:c r="D12" s="139" t="str">
        <x:v>2026-07-30</x:v>
      </x:c>
      <x:c r="E12" s="139" t="str">
        <x:v>2026-11-04</x:v>
      </x:c>
      <x:c r="F12" s="139" t="str">
        <x:v>Government lab release</x:v>
      </x:c>
      <x:c r="G12" s="141" t="e">
        <x:f>HYPERLINK(H12,"OPEN SOURCE")</x:f>
        <x:v>HYPERLINK is not implemented. linkLocation=https://inl.gov/news-release/inl-hosts-ribbon-cutting-for-pilot-plant-supporting-domestic-antimony-production/, friendlyName=OPEN SOURCE</x:v>
      </x:c>
      <x:c r="H12" s="141" t="str">
        <x:v>https://inl.gov/news-release/inl-hosts-ribbon-cutting-for-pilot-plant-supporting-domestic-antimony-production/</x:v>
      </x:c>
      <x:c r="I12" s="139" t="str">
        <x:v>1 ton ORE per day, pilot process testing; not commercial antimony output</x:v>
      </x:c>
    </x:row>
    <x:row r="13" ht="33" customHeight="1">
      <x:c r="A13" s="136" t="str">
        <x:v>S08</x:v>
      </x:c>
      <x:c r="B13" s="139" t="str">
        <x:v>U.S. Department of Energy</x:v>
      </x:c>
      <x:c r="C13" s="139" t="str">
        <x:v>INL antimony trisulfide pilot categorical exclusion</x:v>
      </x:c>
      <x:c r="D13" s="139" t="str">
        <x:v>2025-09</x:v>
      </x:c>
      <x:c r="E13" s="139" t="str">
        <x:v>2026-11-04</x:v>
      </x:c>
      <x:c r="F13" s="139" t="str">
        <x:v>Federal project documentation</x:v>
      </x:c>
      <x:c r="G13" s="141" t="e">
        <x:f>HYPERLINK(H13,"OPEN SOURCE")</x:f>
        <x:v>HYPERLINK is not implemented. linkLocation=https://www.energy.gov/sites/default/files/2025-09/CX-034364.pdf, friendlyName=OPEN SOURCE</x:v>
      </x:c>
      <x:c r="H13" s="141" t="str">
        <x:v>https://www.energy.gov/sites/default/files/2025-09/CX-034364.pdf</x:v>
      </x:c>
      <x:c r="I13" s="139" t="str">
        <x:v>Pilot feed, concentrate streams, process validation</x:v>
      </x:c>
    </x:row>
    <x:row r="14" ht="33" customHeight="1">
      <x:c r="A14" s="136" t="str">
        <x:v>S09</x:v>
      </x:c>
      <x:c r="B14" s="139" t="str">
        <x:v>China MOFCOM/GACC</x:v>
      </x:c>
      <x:c r="C14" s="139" t="str">
        <x:v>Announcement 33/2024</x:v>
      </x:c>
      <x:c r="D14" s="139" t="str">
        <x:v>2024-08-15</x:v>
      </x:c>
      <x:c r="E14" s="139" t="str">
        <x:v>2026-11-04</x:v>
      </x:c>
      <x:c r="F14" s="139" t="str">
        <x:v>Original legal notice</x:v>
      </x:c>
      <x:c r="G14" s="141" t="e">
        <x:f>HYPERLINK(H14,"OPEN SOURCE")</x:f>
        <x:v>HYPERLINK is not implemented. linkLocation=https://www.mofcom.gov.cn/zcfb/zc/art/2024/art_8d1d0c07124e4c01b69339c275c69cbe.html, friendlyName=OPEN SOURCE</x:v>
      </x:c>
      <x:c r="H14" s="141" t="str">
        <x:v>https://www.mofcom.gov.cn/zcfb/zc/art/2024/art_8d1d0c07124e4c01b69339c275c69cbe.html</x:v>
      </x:c>
      <x:c r="I14" s="139" t="str">
        <x:v>Antimony-related export licensing effective 15 Sep 2024</x:v>
      </x:c>
    </x:row>
    <x:row r="15" ht="33" customHeight="1">
      <x:c r="A15" s="136" t="str">
        <x:v>S10</x:v>
      </x:c>
      <x:c r="B15" s="139" t="str">
        <x:v>China MOFCOM</x:v>
      </x:c>
      <x:c r="C15" s="139" t="str">
        <x:v>Announcement 46/2024</x:v>
      </x:c>
      <x:c r="D15" s="139" t="str">
        <x:v>2024-12-03</x:v>
      </x:c>
      <x:c r="E15" s="139" t="str">
        <x:v>2026-11-04</x:v>
      </x:c>
      <x:c r="F15" s="139" t="str">
        <x:v>Original legal notice</x:v>
      </x:c>
      <x:c r="G15" s="141" t="e">
        <x:f>HYPERLINK(H15,"OPEN SOURCE")</x:f>
        <x:v>HYPERLINK is not implemented. linkLocation=https://www.mofcom.gov.cn/zfxxgk/gkml/art/2024/art_99f5d51bbe6a412ca309d5818c4dee52.html, friendlyName=OPEN SOURCE</x:v>
      </x:c>
      <x:c r="H15" s="141" t="str">
        <x:v>https://www.mofcom.gov.cn/zfxxgk/gkml/art/2024/art_99f5d51bbe6a412ca309d5818c4dee52.html</x:v>
      </x:c>
      <x:c r="I15" s="139" t="str">
        <x:v>Clause 1 restrictions for military end users/end uses; Clause 2 U.S.-specific measure</x:v>
      </x:c>
    </x:row>
    <x:row r="16" ht="33" customHeight="1">
      <x:c r="A16" s="136" t="str">
        <x:v>S11</x:v>
      </x:c>
      <x:c r="B16" s="139" t="str">
        <x:v>China MOFCOM</x:v>
      </x:c>
      <x:c r="C16" s="139" t="str">
        <x:v>Announcement 72/2025</x:v>
      </x:c>
      <x:c r="D16" s="139" t="str">
        <x:v>2025-11-09</x:v>
      </x:c>
      <x:c r="E16" s="139" t="str">
        <x:v>2026-11-04</x:v>
      </x:c>
      <x:c r="F16" s="139" t="str">
        <x:v>Original legal notice</x:v>
      </x:c>
      <x:c r="G16" s="141" t="e">
        <x:f>HYPERLINK(H16,"OPEN SOURCE")</x:f>
        <x:v>HYPERLINK is not implemented. linkLocation=https://www.mofcom.gov.cn/zfxxgk/gkml/art/2025/art_43489ca6f2094b70954c25249702b4cc.html, friendlyName=OPEN SOURCE</x:v>
      </x:c>
      <x:c r="H16" s="141" t="str">
        <x:v>https://www.mofcom.gov.cn/zfxxgk/gkml/art/2025/art_43489ca6f2094b70954c25249702b4cc.html</x:v>
      </x:c>
      <x:c r="I16" s="139" t="str">
        <x:v>Suspends ONLY Clause 2 of No.46 until 27 Nov 2026</x:v>
      </x:c>
    </x:row>
    <x:row r="17" ht="33" customHeight="1">
      <x:c r="A17" s="136" t="str">
        <x:v>S12</x:v>
      </x:c>
      <x:c r="B17" s="139" t="str">
        <x:v>Perpetua Resources</x:v>
      </x:c>
      <x:c r="C17" s="139" t="str">
        <x:v>Project status / local notices</x:v>
      </x:c>
      <x:c r="D17" s="139" t="str">
        <x:v>2026-11-02</x:v>
      </x:c>
      <x:c r="E17" s="139" t="str">
        <x:v>2026-11-04</x:v>
      </x:c>
      <x:c r="F17" s="139" t="str">
        <x:v>Company construction update</x:v>
      </x:c>
      <x:c r="G17" s="141" t="e">
        <x:f>HYPERLINK(H17,"OPEN SOURCE")</x:f>
        <x:v>HYPERLINK is not implemented. linkLocation=https://perpetuaresources.com/project/local-notices/, friendlyName=OPEN SOURCE</x:v>
      </x:c>
      <x:c r="H17" s="141" t="str">
        <x:v>https://perpetuaresources.com/project/local-notices/</x:v>
      </x:c>
      <x:c r="I17" s="139" t="str">
        <x:v>Construction activity; commercial antimony delivery timing is conditional</x:v>
      </x:c>
    </x:row>
    <x:row r="18" ht="33" customHeight="1">
      <x:c r="A18" s="136" t="str">
        <x:v>S13</x:v>
      </x:c>
      <x:c r="B18" s="139" t="str">
        <x:v>U.S. Geological Survey</x:v>
      </x:c>
      <x:c r="C18" s="139" t="str">
        <x:v>Antimony statistics and information</x:v>
      </x:c>
      <x:c r="D18" s="139" t="str">
        <x:v>accessed 2026-11-04</x:v>
      </x:c>
      <x:c r="E18" s="139" t="str">
        <x:v>2026-11-04</x:v>
      </x:c>
      <x:c r="F18" s="139" t="str">
        <x:v>Federal commodity portal</x:v>
      </x:c>
      <x:c r="G18" s="141" t="e">
        <x:f>HYPERLINK(H18,"OPEN SOURCE")</x:f>
        <x:v>HYPERLINK is not implemented. linkLocation=https://www.usgs.gov/centers/national-minerals-information-center/antimony-statistics-and-information, friendlyName=OPEN SOURCE</x:v>
      </x:c>
      <x:c r="H18" s="141" t="str">
        <x:v>https://www.usgs.gov/centers/national-minerals-information-center/antimony-statistics-and-information</x:v>
      </x:c>
      <x:c r="I18" s="139" t="str">
        <x:v>Individual antimony commodity sources</x:v>
      </x:c>
    </x:row>
    <x:row r="19" ht="38" customHeight="1">
      <x:c r="A19" s="136" t="str">
        <x:v>S14</x:v>
      </x:c>
      <x:c r="B19" s="139" t="str">
        <x:v>United States Antimony / SEC EDGAR</x:v>
      </x:c>
      <x:c r="C19" s="139" t="str">
        <x:v>Form 10-Q, quarter ended 30 June 2026</x:v>
      </x:c>
      <x:c r="D19" s="139" t="str">
        <x:v>2026-08-11</x:v>
      </x:c>
      <x:c r="E19" s="139" t="str">
        <x:v>2026-11-04</x:v>
      </x:c>
      <x:c r="F19" s="139" t="str">
        <x:v>Corporate primary filing</x:v>
      </x:c>
      <x:c r="G19" s="141" t="e">
        <x:f>HYPERLINK(H19,"OPEN SOURCE")</x:f>
        <x:v>HYPERLINK is not implemented. linkLocation=https://www.sec.gov/Archives/edgar/data/101538/000110465926094035/uamy-20260630x10q.htm, friendlyName=OPEN SOURCE</x:v>
      </x:c>
      <x:c r="H19" s="141" t="str">
        <x:v>https://www.sec.gov/Archives/edgar/data/101538/000110465926094035/uamy-20260630x10q.htm</x:v>
      </x:c>
      <x:c r="I19" s="139" t="str">
        <x:v>DPA $27m headline: $16.2m obligated; $10.8m pending later authorization; $12.8m received by June 30, 2026</x:v>
      </x:c>
    </x:row>
    <x:row r="20" ht="38" customHeight="1">
      <x:c r="A20" s="2" t="str">
        <x:v>S15</x:v>
      </x:c>
      <x:c r="B20" s="97" t="str">
        <x:v>U.S. Department of War (Comptroller)</x:v>
      </x:c>
      <x:c r="C20" s="97" t="str">
        <x:v>FY2026 Mandatory Funding Allocation Plan</x:v>
      </x:c>
      <x:c r="D20" s="97" t="str">
        <x:v>2026-05-04</x:v>
      </x:c>
      <x:c r="E20" s="97" t="str">
        <x:v>2026-11-04</x:v>
      </x:c>
      <x:c r="F20" s="97" t="str">
        <x:v>Government budget allocation</x:v>
      </x:c>
      <x:c r="G20" s="142" t="e">
        <x:f>HYPERLINK(H20,"OPEN SOURCE")</x:f>
        <x:v>HYPERLINK is not implemented. linkLocation=https://comptroller.war.gov/Portals/45/Documents/news/FY2026_Mandatory_Funding_Allocation_Plan.pdf, friendlyName=OPEN SOURCE</x:v>
      </x:c>
      <x:c r="H20" s="142" t="str">
        <x:v>https://comptroller.war.gov/Portals/45/Documents/news/FY2026_Mandatory_Funding_Allocation_Plan.pdf</x:v>
      </x:c>
      <x:c r="I20" s="97" t="str">
        <x:v>$75m allocation plan for antimony midstream processing; budget intent, not an antimony supplier award</x:v>
      </x:c>
    </x:row>
    <x:row r="21" ht="38" customHeight="1">
      <x:c r="A21" s="2" t="str">
        <x:v>S16</x:v>
      </x:c>
      <x:c r="B21" s="97" t="str">
        <x:v>Perpetua / SEC EDGAR</x:v>
      </x:c>
      <x:c r="C21" s="97" t="str">
        <x:v>Form 8-K, October 26 2026</x:v>
      </x:c>
      <x:c r="D21" s="97" t="str">
        <x:v>2026-10-26</x:v>
      </x:c>
      <x:c r="E21" s="97" t="str">
        <x:v>2026-11-04</x:v>
      </x:c>
      <x:c r="F21" s="97" t="str">
        <x:v>Corporate primary filing</x:v>
      </x:c>
      <x:c r="G21" s="142" t="e">
        <x:f>HYPERLINK(H21,"OPEN SOURCE")</x:f>
        <x:v>HYPERLINK is not implemented. linkLocation=https://www.sec.gov/Archives/edgar/data/1526243/000110465926118875/tm2628317d1_8k.htm, friendlyName=OPEN SOURCE</x:v>
      </x:c>
      <x:c r="H21" s="142" t="str">
        <x:v>https://www.sec.gov/Archives/edgar/data/1526243/000110465926118875/tm2628317d1_8k.htm</x:v>
      </x:c>
      <x:c r="I21" s="97" t="str">
        <x:v>Tungsten OTIA announced; excluded from antimony project-financing totals and buyer calculations</x:v>
      </x:c>
    </x:row>
    <x:row r="22" ht="38" customHeight="1">
      <x:c r="A22" s="2" t="str">
        <x:v>S17</x:v>
      </x:c>
      <x:c r="B22" s="97" t="str">
        <x:v>DLA Strategic Materials</x:v>
      </x:c>
      <x:c r="C22" s="97" t="str">
        <x:v>National Defense Stockpile mission / materials</x:v>
      </x:c>
      <x:c r="D22" s="97" t="str">
        <x:v>2026 (accessed)</x:v>
      </x:c>
      <x:c r="E22" s="97" t="str">
        <x:v>2026-11-04</x:v>
      </x:c>
      <x:c r="F22" s="97" t="str">
        <x:v>Federal stockpile context</x:v>
      </x:c>
      <x:c r="G22" s="142" t="e">
        <x:f>HYPERLINK(H22,"OPEN SOURCE")</x:f>
        <x:v>HYPERLINK is not implemented. linkLocation=https://www.dla.mil/Strategic-Materials/, friendlyName=OPEN SOURCE</x:v>
      </x:c>
      <x:c r="H22" s="142" t="str">
        <x:v>https://www.dla.mil/Strategic-Materials/</x:v>
      </x:c>
      <x:c r="I22" s="97" t="str">
        <x:v>Government stockpile administered by DLA; no assumption that private buyer has access</x:v>
      </x:c>
    </x:row>
  </x:sheetData>
  <x:mergeCells>
    <x:mergeCell ref="A1:I2"/>
  </x:mergeCells>
  <x:pageMargins left="0.7" right="0.7" top="0.75" bottom="0.75" header="0.3" footer="0.3"/>
</x:worksheet>
</file>

<file path=xl/worksheets/sheet3.xml><?xml version="1.0" encoding="utf-8"?>
<x:worksheet xmlns:x="http://schemas.openxmlformats.org/spreadsheetml/2006/main">
  <x:sheetFormatPr defaultRowHeight="15"/>
  <x:cols>
    <x:col min="1" max="1" width="16" hidden="0" customWidth="1"/>
    <x:col min="2" max="2" width="23" hidden="0" customWidth="1"/>
    <x:col min="3" max="3" width="25" hidden="0" customWidth="1"/>
    <x:col min="4" max="4" width="23" hidden="0" customWidth="1"/>
    <x:col min="5" max="5" width="25" hidden="0" customWidth="1"/>
    <x:col min="6" max="6" width="27" hidden="0" customWidth="1"/>
    <x:col min="7" max="7" width="21" hidden="0" customWidth="1"/>
    <x:col min="8" max="8" width="23" hidden="0" customWidth="1"/>
    <x:col min="9" max="9" width="18" hidden="0" customWidth="1"/>
    <x:col min="10" max="10" width="18" hidden="0" customWidth="1"/>
    <x:col min="11" max="11" width="18" hidden="0" customWidth="1"/>
    <x:col min="12" max="12" width="18" hidden="0" customWidth="1"/>
    <x:col min="13" max="13" width="18" hidden="0" customWidth="1"/>
  </x:cols>
  <x:sheetData>
    <x:row r="1" ht="29" customHeight="1">
      <x:c r="A1" s="133" t="str">
        <x:v>OBSERVED MARKET DATA  |  U.S. GEOLOGICAL SURVEY</x:v>
      </x:c>
      <x:c r="B1" s="143"/>
      <x:c r="C1" s="144"/>
      <x:c r="D1" s="145"/>
      <x:c r="E1" s="143"/>
      <x:c r="F1" s="143"/>
      <x:c r="G1" s="143"/>
      <x:c r="H1" s="143"/>
      <x:c r="I1" s="133"/>
      <x:c r="J1" s="143"/>
      <x:c r="K1" s="143"/>
      <x:c r="L1" s="133"/>
      <x:c r="M1" s="133"/>
    </x:row>
    <x:row r="2" ht="29" customHeight="1">
      <x:c r="A2" s="133"/>
      <x:c r="B2" s="133"/>
      <x:c r="C2" s="133"/>
      <x:c r="D2" s="133"/>
      <x:c r="E2" s="133"/>
      <x:c r="F2" s="133"/>
      <x:c r="G2" s="133"/>
      <x:c r="H2" s="133"/>
      <x:c r="I2" s="133"/>
      <x:c r="J2" s="133"/>
      <x:c r="K2" s="133"/>
      <x:c r="L2" s="133"/>
      <x:c r="M2" s="133"/>
    </x:row>
    <x:row r="3" ht="25" customHeight="1">
      <x:c r="A3" s="135" t="str">
        <x:v>2025 = USGS estimate  |  antimony-content metric tons except where specified  |  metal price = CIF 99.65% Sb</x:v>
      </x:c>
      <x:c r="B3" s="135"/>
      <x:c r="C3" s="135"/>
      <x:c r="D3" s="135"/>
      <x:c r="E3" s="135"/>
      <x:c r="F3" s="135"/>
      <x:c r="G3" s="135"/>
      <x:c r="H3" s="135"/>
      <x:c r="I3" s="135"/>
      <x:c r="J3" s="135"/>
      <x:c r="K3" s="135"/>
      <x:c r="L3" s="135"/>
      <x:c r="M3" s="135"/>
    </x:row>
    <x:row r="4" ht="20" customHeight="1">
      <x:c r="A4" s="136"/>
      <x:c r="B4" s="136"/>
      <x:c r="C4" s="136"/>
      <x:c r="D4" s="136"/>
      <x:c r="E4" s="136"/>
      <x:c r="F4" s="136"/>
      <x:c r="G4" s="136"/>
      <x:c r="H4" s="136"/>
      <x:c r="I4" s="136"/>
      <x:c r="J4" s="136"/>
      <x:c r="K4" s="136"/>
      <x:c r="L4" s="136"/>
      <x:c r="M4" s="136"/>
    </x:row>
    <x:row r="5" ht="26" customHeight="1">
      <x:c r="A5" s="140" t="str">
        <x:v>Year</x:v>
      </x:c>
      <x:c r="B5" s="140" t="str">
        <x:v>U.S. apparent use (t Sb)</x:v>
      </x:c>
      <x:c r="C5" s="140" t="str">
        <x:v>Metal price ($/lb)</x:v>
      </x:c>
      <x:c r="D5" s="140" t="str">
        <x:v>Net import reliance</x:v>
      </x:c>
      <x:c r="E5" s="140" t="str">
        <x:v>Primary smelter (t Sb)</x:v>
      </x:c>
      <x:c r="F5" s="140" t="str">
        <x:v>Secondary smelter (t Sb)</x:v>
      </x:c>
      <x:c r="G5" s="140" t="str">
        <x:v>Oxide imports (t Sb)</x:v>
      </x:c>
      <x:c r="H5" s="140" t="str">
        <x:v>Metal imports (t Sb)</x:v>
      </x:c>
      <x:c r="I5" s="140" t="str">
        <x:v>Source ID</x:v>
      </x:c>
      <x:c r="J5" s="140"/>
      <x:c r="K5" s="140"/>
      <x:c r="L5" s="140"/>
      <x:c r="M5" s="140"/>
    </x:row>
    <x:row r="6" ht="20" customHeight="1">
      <x:c r="A6" s="136" t="n">
        <x:v>2021</x:v>
      </x:c>
      <x:c r="B6" s="136" t="n">
        <x:v>27800</x:v>
      </x:c>
      <x:c r="C6" s="136" t="n">
        <x:v>5.31</x:v>
      </x:c>
      <x:c r="D6" s="136" t="n">
        <x:v>0.85</x:v>
      </x:c>
      <x:c r="E6" s="136" t="n">
        <x:v>0</x:v>
      </x:c>
      <x:c r="F6" s="136" t="n">
        <x:v>4050</x:v>
      </x:c>
      <x:c r="G6" s="136" t="n">
        <x:v>19100</x:v>
      </x:c>
      <x:c r="H6" s="136" t="n">
        <x:v>6970</x:v>
      </x:c>
      <x:c r="I6" s="136" t="str">
        <x:v>S01</x:v>
      </x:c>
      <x:c r="J6" s="136"/>
      <x:c r="K6" s="136"/>
      <x:c r="L6" s="136"/>
      <x:c r="M6" s="136"/>
    </x:row>
    <x:row r="7" ht="20" customHeight="1">
      <x:c r="A7" s="136" t="n">
        <x:v>2022</x:v>
      </x:c>
      <x:c r="B7" s="136" t="n">
        <x:v>24500</x:v>
      </x:c>
      <x:c r="C7" s="136" t="n">
        <x:v>6.18</x:v>
      </x:c>
      <x:c r="D7" s="136" t="n">
        <x:v>0.81</x:v>
      </x:c>
      <x:c r="E7" s="136" t="n">
        <x:v>586</x:v>
      </x:c>
      <x:c r="F7" s="136" t="n">
        <x:v>4100</x:v>
      </x:c>
      <x:c r="G7" s="136" t="n">
        <x:v>17000</x:v>
      </x:c>
      <x:c r="H7" s="136" t="n">
        <x:v>6510</x:v>
      </x:c>
      <x:c r="I7" s="136" t="str">
        <x:v>S01</x:v>
      </x:c>
      <x:c r="J7" s="136"/>
      <x:c r="K7" s="136"/>
      <x:c r="L7" s="136"/>
      <x:c r="M7" s="136"/>
    </x:row>
    <x:row r="8" ht="20" customHeight="1">
      <x:c r="A8" s="136" t="n">
        <x:v>2023</x:v>
      </x:c>
      <x:c r="B8" s="136" t="n">
        <x:v>20700</x:v>
      </x:c>
      <x:c r="C8" s="136" t="n">
        <x:v>5.49</x:v>
      </x:c>
      <x:c r="D8" s="136" t="n">
        <x:v>0.81</x:v>
      </x:c>
      <x:c r="E8" s="136" t="n">
        <x:v>452</x:v>
      </x:c>
      <x:c r="F8" s="136" t="n">
        <x:v>3490</x:v>
      </x:c>
      <x:c r="G8" s="136" t="n">
        <x:v>14000</x:v>
      </x:c>
      <x:c r="H8" s="136" t="n">
        <x:v>6060</x:v>
      </x:c>
      <x:c r="I8" s="136" t="str">
        <x:v>S01</x:v>
      </x:c>
      <x:c r="J8" s="136"/>
      <x:c r="K8" s="136"/>
      <x:c r="L8" s="136"/>
      <x:c r="M8" s="136"/>
    </x:row>
    <x:row r="9" ht="20" customHeight="1">
      <x:c r="A9" s="136" t="n">
        <x:v>2024</x:v>
      </x:c>
      <x:c r="B9" s="136" t="n">
        <x:v>28600</x:v>
      </x:c>
      <x:c r="C9" s="136" t="n">
        <x:v>10.24</x:v>
      </x:c>
      <x:c r="D9" s="136" t="n">
        <x:v>0.86</x:v>
      </x:c>
      <x:c r="E9" s="136" t="n">
        <x:v>588</x:v>
      </x:c>
      <x:c r="F9" s="136" t="n">
        <x:v>3330</x:v>
      </x:c>
      <x:c r="G9" s="136" t="n">
        <x:v>24000</x:v>
      </x:c>
      <x:c r="H9" s="136" t="n">
        <x:v>4920</x:v>
      </x:c>
      <x:c r="I9" s="136" t="str">
        <x:v>S01</x:v>
      </x:c>
      <x:c r="J9" s="136"/>
      <x:c r="K9" s="136"/>
      <x:c r="L9" s="136"/>
      <x:c r="M9" s="136"/>
    </x:row>
    <x:row r="10" ht="20" customHeight="1">
      <x:c r="A10" s="136" t="n">
        <x:v>2025</x:v>
      </x:c>
      <x:c r="B10" s="136" t="n">
        <x:v>45000</x:v>
      </x:c>
      <x:c r="C10" s="136" t="n">
        <x:v>25</x:v>
      </x:c>
      <x:c r="D10" s="136" t="n">
        <x:v>0.91</x:v>
      </x:c>
      <x:c r="E10" s="136" t="n">
        <x:v>700</x:v>
      </x:c>
      <x:c r="F10" s="136" t="n">
        <x:v>3500</x:v>
      </x:c>
      <x:c r="G10" s="136" t="n">
        <x:v>39000</x:v>
      </x:c>
      <x:c r="H10" s="136" t="n">
        <x:v>4500</x:v>
      </x:c>
      <x:c r="I10" s="136" t="str">
        <x:v>S01</x:v>
      </x:c>
      <x:c r="J10" s="136"/>
      <x:c r="K10" s="136"/>
      <x:c r="L10" s="136"/>
      <x:c r="M10" s="136"/>
    </x:row>
    <x:row r="11" ht="20" customHeight="1">
      <x:c r="A11" s="136"/>
      <x:c r="B11" s="136"/>
      <x:c r="C11" s="136"/>
      <x:c r="D11" s="136"/>
      <x:c r="E11" s="136"/>
      <x:c r="F11" s="136"/>
      <x:c r="G11" s="136"/>
      <x:c r="H11" s="136"/>
      <x:c r="I11" s="136"/>
      <x:c r="J11" s="136"/>
      <x:c r="K11" s="136"/>
      <x:c r="L11" s="136"/>
      <x:c r="M11" s="136"/>
    </x:row>
    <x:row r="12" ht="20" customHeight="1">
      <x:c r="A12" s="136"/>
      <x:c r="B12" s="136"/>
      <x:c r="C12" s="136"/>
      <x:c r="D12" s="136"/>
      <x:c r="E12" s="136"/>
      <x:c r="F12" s="136"/>
      <x:c r="G12" s="136"/>
      <x:c r="H12" s="136"/>
      <x:c r="I12" s="136"/>
      <x:c r="J12" s="136"/>
      <x:c r="K12" s="136"/>
      <x:c r="L12" s="136"/>
      <x:c r="M12" s="136"/>
    </x:row>
    <x:row r="13" ht="20" customHeight="1">
      <x:c r="A13" s="136"/>
      <x:c r="B13" s="136"/>
      <x:c r="C13" s="136"/>
      <x:c r="D13" s="136"/>
      <x:c r="E13" s="136"/>
      <x:c r="F13" s="136"/>
      <x:c r="G13" s="136"/>
      <x:c r="H13" s="136"/>
      <x:c r="I13" s="136"/>
      <x:c r="J13" s="136"/>
      <x:c r="K13" s="136"/>
      <x:c r="L13" s="136"/>
      <x:c r="M13" s="136"/>
    </x:row>
    <x:row r="14" ht="20" customHeight="1">
      <x:c r="A14" s="136"/>
      <x:c r="B14" s="136"/>
      <x:c r="C14" s="136"/>
      <x:c r="D14" s="136"/>
      <x:c r="E14" s="136"/>
      <x:c r="F14" s="136"/>
      <x:c r="G14" s="136"/>
      <x:c r="H14" s="136"/>
      <x:c r="I14" s="136"/>
      <x:c r="J14" s="136"/>
      <x:c r="K14" s="136"/>
      <x:c r="L14" s="136"/>
      <x:c r="M14" s="136"/>
    </x:row>
    <x:row r="15" ht="20" customHeight="1">
      <x:c r="A15" s="136"/>
      <x:c r="B15" s="136"/>
      <x:c r="C15" s="136"/>
      <x:c r="D15" s="136"/>
      <x:c r="E15" s="136"/>
      <x:c r="F15" s="136"/>
      <x:c r="G15" s="136"/>
      <x:c r="H15" s="136"/>
      <x:c r="I15" s="136"/>
      <x:c r="J15" s="136"/>
      <x:c r="K15" s="136"/>
      <x:c r="L15" s="136"/>
      <x:c r="M15" s="136"/>
    </x:row>
    <x:row r="16" ht="26" customHeight="1">
      <x:c r="A16" s="140" t="str">
        <x:v>World mine production</x:v>
      </x:c>
      <x:c r="B16" s="140" t="str">
        <x:v>2024 t Sb</x:v>
      </x:c>
      <x:c r="C16" s="140" t="str">
        <x:v>2025 t Sb</x:v>
      </x:c>
      <x:c r="D16" s="140" t="str">
        <x:v>2025 share</x:v>
      </x:c>
      <x:c r="E16" s="140" t="str">
        <x:v>Unit basis</x:v>
      </x:c>
      <x:c r="F16" s="140" t="str">
        <x:v>Source ID</x:v>
      </x:c>
      <x:c r="G16" s="140" t="str">
        <x:v>Note</x:v>
      </x:c>
      <x:c r="H16" s="140"/>
      <x:c r="I16" s="140"/>
      <x:c r="J16" s="140"/>
      <x:c r="K16" s="140"/>
      <x:c r="L16" s="140"/>
      <x:c r="M16" s="140"/>
    </x:row>
    <x:row r="17" ht="20" customHeight="1">
      <x:c r="A17" s="136" t="str">
        <x:v>China</x:v>
      </x:c>
      <x:c r="B17" s="136" t="n">
        <x:v>40000</x:v>
      </x:c>
      <x:c r="C17" s="136" t="n">
        <x:v>40000</x:v>
      </x:c>
      <x:c r="D17" s="146" t="n">
        <x:f>C17/$C$20</x:f>
        <x:v>0.36363636363636365</x:v>
      </x:c>
      <x:c r="E17" s="136" t="str">
        <x:v>Mine output, Sb content</x:v>
      </x:c>
      <x:c r="F17" s="136" t="str">
        <x:v>S01</x:v>
      </x:c>
      <x:c r="G17" s="136" t="str">
        <x:v>USGS 2025 estimate</x:v>
      </x:c>
      <x:c r="H17" s="136"/>
      <x:c r="I17" s="136"/>
      <x:c r="J17" s="136"/>
      <x:c r="K17" s="136"/>
      <x:c r="L17" s="136"/>
      <x:c r="M17" s="136"/>
    </x:row>
    <x:row r="18" ht="20" customHeight="1">
      <x:c r="A18" s="136" t="str">
        <x:v>Russia</x:v>
      </x:c>
      <x:c r="B18" s="136" t="n">
        <x:v>40000</x:v>
      </x:c>
      <x:c r="C18" s="136" t="n">
        <x:v>32000</x:v>
      </x:c>
      <x:c r="D18" s="146" t="n">
        <x:f>C18/$C$20</x:f>
        <x:v>0.2909090909090909</x:v>
      </x:c>
      <x:c r="E18" s="136" t="str">
        <x:v>Mine output, Sb content</x:v>
      </x:c>
      <x:c r="F18" s="136" t="str">
        <x:v>S01</x:v>
      </x:c>
      <x:c r="G18" s="136" t="str">
        <x:v>USGS 2025 estimate</x:v>
      </x:c>
      <x:c r="H18" s="136"/>
      <x:c r="I18" s="136"/>
      <x:c r="J18" s="136"/>
      <x:c r="K18" s="136"/>
      <x:c r="L18" s="136"/>
      <x:c r="M18" s="136"/>
    </x:row>
    <x:row r="19" ht="20" customHeight="1">
      <x:c r="A19" s="136" t="str">
        <x:v>Tajikistan</x:v>
      </x:c>
      <x:c r="B19" s="136" t="n">
        <x:v>22000</x:v>
      </x:c>
      <x:c r="C19" s="136" t="n">
        <x:v>22000</x:v>
      </x:c>
      <x:c r="D19" s="146" t="n">
        <x:f>C19/$C$20</x:f>
        <x:v>0.2</x:v>
      </x:c>
      <x:c r="E19" s="136" t="str">
        <x:v>Mine output, Sb content</x:v>
      </x:c>
      <x:c r="F19" s="136" t="str">
        <x:v>S01</x:v>
      </x:c>
      <x:c r="G19" s="136" t="str">
        <x:v>USGS 2025 estimate</x:v>
      </x:c>
      <x:c r="H19" s="136"/>
      <x:c r="I19" s="136"/>
      <x:c r="J19" s="136"/>
      <x:c r="K19" s="136"/>
      <x:c r="L19" s="136"/>
      <x:c r="M19" s="136"/>
    </x:row>
    <x:row r="20" ht="20" customHeight="1">
      <x:c r="A20" s="136" t="str">
        <x:v>World total (rounded)</x:v>
      </x:c>
      <x:c r="B20" s="136" t="n">
        <x:v>119000</x:v>
      </x:c>
      <x:c r="C20" s="136" t="n">
        <x:v>110000</x:v>
      </x:c>
      <x:c r="D20" s="136"/>
      <x:c r="E20" s="136" t="str">
        <x:v>Mine output, Sb content</x:v>
      </x:c>
      <x:c r="F20" s="136" t="str">
        <x:v>S01</x:v>
      </x:c>
      <x:c r="G20" s="136" t="str">
        <x:v>USGS 2025 estimate</x:v>
      </x:c>
      <x:c r="H20" s="136"/>
      <x:c r="I20" s="136"/>
      <x:c r="J20" s="136"/>
      <x:c r="K20" s="136"/>
      <x:c r="L20" s="136"/>
      <x:c r="M20" s="136"/>
    </x:row>
    <x:row r="21" ht="20" customHeight="1">
      <x:c r="A21" s="136"/>
      <x:c r="B21" s="136"/>
      <x:c r="C21" s="136"/>
      <x:c r="D21" s="136"/>
      <x:c r="E21" s="136"/>
      <x:c r="F21" s="136"/>
      <x:c r="G21" s="136"/>
      <x:c r="H21" s="136"/>
      <x:c r="I21" s="136"/>
      <x:c r="J21" s="136"/>
      <x:c r="K21" s="136"/>
      <x:c r="L21" s="136"/>
      <x:c r="M21" s="136"/>
    </x:row>
    <x:row r="22" ht="20" customHeight="1">
      <x:c r="A22" s="136"/>
      <x:c r="B22" s="136"/>
      <x:c r="C22" s="136"/>
      <x:c r="D22" s="136"/>
      <x:c r="E22" s="136"/>
      <x:c r="F22" s="136"/>
      <x:c r="G22" s="136"/>
      <x:c r="H22" s="136"/>
      <x:c r="I22" s="136"/>
      <x:c r="J22" s="136"/>
      <x:c r="K22" s="136"/>
      <x:c r="L22" s="136"/>
      <x:c r="M22" s="136"/>
    </x:row>
    <x:row r="23" ht="20" customHeight="1">
      <x:c r="A23" s="136" t="str">
        <x:v>U.S. 2021–2024 import origin (metal + oxide)</x:v>
      </x:c>
      <x:c r="B23" s="146" t="n">
        <x:v>0.55</x:v>
      </x:c>
      <x:c r="C23" s="136" t="str">
        <x:v>China share • S01</x:v>
      </x:c>
      <x:c r="D23" s="136"/>
      <x:c r="E23" s="136"/>
      <x:c r="F23" s="136"/>
      <x:c r="G23" s="136"/>
      <x:c r="H23" s="136"/>
      <x:c r="I23" s="136"/>
      <x:c r="J23" s="136"/>
      <x:c r="K23" s="136"/>
      <x:c r="L23" s="136"/>
      <x:c r="M23" s="136"/>
    </x:row>
    <x:row r="24" ht="20" customHeight="1">
      <x:c r="A24" s="136" t="str">
        <x:v>2025 price in $/t</x:v>
      </x:c>
      <x:c r="B24" s="147" t="n">
        <x:f>C10*Inputs!B7</x:f>
        <x:v>55115.56554625</x:v>
      </x:c>
      <x:c r="C24" s="136"/>
      <x:c r="D24" s="136"/>
      <x:c r="E24" s="136"/>
      <x:c r="F24" s="136"/>
      <x:c r="G24" s="136"/>
      <x:c r="H24" s="136"/>
      <x:c r="I24" s="136"/>
      <x:c r="J24" s="136"/>
      <x:c r="K24" s="136"/>
      <x:c r="L24" s="136"/>
      <x:c r="M24" s="136"/>
    </x:row>
    <x:row r="25" ht="20" customHeight="1">
      <x:c r="A25" s="136" t="str">
        <x:v>2025 price change vs 2024</x:v>
      </x:c>
      <x:c r="B25" s="146" t="n">
        <x:f>C10/C9-1</x:f>
        <x:v>1.44140625</x:v>
      </x:c>
      <x:c r="C25" s="136"/>
      <x:c r="D25" s="136"/>
      <x:c r="E25" s="136"/>
      <x:c r="F25" s="136"/>
      <x:c r="G25" s="136"/>
      <x:c r="H25" s="136"/>
      <x:c r="I25" s="136"/>
      <x:c r="J25" s="136"/>
      <x:c r="K25" s="136"/>
      <x:c r="L25" s="136"/>
      <x:c r="M25" s="136"/>
    </x:row>
    <x:row r="26" ht="20" customHeight="1">
      <x:c r="A26" s="136"/>
      <x:c r="B26" s="136"/>
      <x:c r="C26" s="136"/>
      <x:c r="D26" s="136"/>
      <x:c r="E26" s="136"/>
      <x:c r="F26" s="136"/>
      <x:c r="G26" s="136"/>
      <x:c r="H26" s="136"/>
      <x:c r="I26" s="136"/>
      <x:c r="J26" s="136"/>
      <x:c r="K26" s="136"/>
      <x:c r="L26" s="136"/>
      <x:c r="M26" s="136"/>
    </x:row>
  </x:sheetData>
  <x:mergeCells>
    <x:mergeCell ref="A1:M2"/>
  </x:mergeCells>
  <x:pageMargins left="0.7" right="0.7" top="0.75" bottom="0.75" header="0.3" footer="0.3"/>
</x:worksheet>
</file>

<file path=xl/worksheets/sheet4.xml><?xml version="1.0" encoding="utf-8"?>
<x:worksheet xmlns:x="http://schemas.openxmlformats.org/spreadsheetml/2006/main">
  <x:sheetFormatPr defaultRowHeight="15"/>
  <x:cols>
    <x:col min="1" max="1" width="36" hidden="0" customWidth="1"/>
    <x:col min="2" max="2" width="23" hidden="0" customWidth="1"/>
    <x:col min="3" max="3" width="17" hidden="0" customWidth="1"/>
    <x:col min="4" max="4" width="25" hidden="0" customWidth="1"/>
    <x:col min="5" max="5" width="46" hidden="0" customWidth="1"/>
    <x:col min="6" max="6" width="15" hidden="0" customWidth="1"/>
    <x:col min="7" max="7" width="18" hidden="0" customWidth="1"/>
    <x:col min="8" max="8" width="16" hidden="0" customWidth="1"/>
  </x:cols>
  <x:sheetData>
    <x:row r="1" ht="29" customHeight="1">
      <x:c r="A1" s="133" t="str">
        <x:v>BUYER ASSUMPTIONS  |  EDITABLE INPUTS</x:v>
      </x:c>
      <x:c r="B1" s="133"/>
      <x:c r="C1" s="133"/>
      <x:c r="D1" s="133"/>
      <x:c r="E1" s="133"/>
      <x:c r="F1" s="133"/>
      <x:c r="G1" s="133"/>
      <x:c r="H1" s="133"/>
    </x:row>
    <x:row r="2" ht="29" customHeight="1">
      <x:c r="A2" s="133"/>
      <x:c r="B2" s="133"/>
      <x:c r="C2" s="133"/>
      <x:c r="D2" s="133"/>
      <x:c r="E2" s="133"/>
      <x:c r="F2" s="133"/>
      <x:c r="G2" s="133"/>
      <x:c r="H2" s="133"/>
    </x:row>
    <x:row r="3" ht="25" customHeight="1">
      <x:c r="A3" s="135" t="str">
        <x:v>Gold editable cells  |  Scenario assumptions are illustrative, not supplier quotations or probability estimates</x:v>
      </x:c>
      <x:c r="B3" s="135"/>
      <x:c r="C3" s="135"/>
      <x:c r="D3" s="135"/>
      <x:c r="E3" s="135"/>
      <x:c r="F3" s="135"/>
      <x:c r="G3" s="135"/>
      <x:c r="H3" s="135"/>
    </x:row>
    <x:row r="4" ht="20" customHeight="1">
      <x:c r="A4" s="136"/>
      <x:c r="B4" s="136"/>
      <x:c r="C4" s="136"/>
      <x:c r="D4" s="136"/>
      <x:c r="E4" s="136"/>
      <x:c r="F4" s="136"/>
      <x:c r="G4" s="136"/>
      <x:c r="H4" s="136"/>
    </x:row>
    <x:row r="5" ht="26" customHeight="1">
      <x:c r="A5" s="140" t="str">
        <x:v>Assumption</x:v>
      </x:c>
      <x:c r="B5" s="140" t="str">
        <x:v>Value</x:v>
      </x:c>
      <x:c r="C5" s="140" t="str">
        <x:v>Units</x:v>
      </x:c>
      <x:c r="D5" s="140" t="str">
        <x:v>Basis</x:v>
      </x:c>
      <x:c r="E5" s="140" t="str">
        <x:v>Interpretation / source</x:v>
      </x:c>
      <x:c r="F5" s="140"/>
      <x:c r="G5" s="140"/>
      <x:c r="H5" s="140"/>
    </x:row>
    <x:row r="6" ht="20" customHeight="1">
      <x:c r="A6" s="136" t="str">
        <x:v>Annual contained-Sb demand</x:v>
      </x:c>
      <x:c r="B6" s="149" t="n">
        <x:v>100</x:v>
      </x:c>
      <x:c r="C6" s="136" t="str">
        <x:v>t Sb / year</x:v>
      </x:c>
      <x:c r="D6" s="136" t="str">
        <x:v>Illustrative</x:v>
      </x:c>
      <x:c r="E6" s="139" t="str">
        <x:v>Unknown company-specific bill of materials</x:v>
      </x:c>
      <x:c r="F6" s="136"/>
      <x:c r="G6" s="136"/>
      <x:c r="H6" s="136"/>
    </x:row>
    <x:row r="7" ht="20" customHeight="1">
      <x:c r="A7" s="136" t="str">
        <x:v>Pounds per metric ton</x:v>
      </x:c>
      <x:c r="B7" s="149" t="n">
        <x:v>2204.62262185</x:v>
      </x:c>
      <x:c r="C7" s="136" t="str">
        <x:v>lb/t</x:v>
      </x:c>
      <x:c r="D7" s="136" t="str">
        <x:v>Physical conversion</x:v>
      </x:c>
      <x:c r="E7" s="139" t="str">
        <x:v>Exact metric ton conversion</x:v>
      </x:c>
      <x:c r="F7" s="136"/>
      <x:c r="G7" s="136"/>
      <x:c r="H7" s="136"/>
    </x:row>
    <x:row r="8" ht="20" customHeight="1">
      <x:c r="A8" s="136" t="str">
        <x:v>Reference metal price</x:v>
      </x:c>
      <x:c r="B8" s="151" t="n">
        <x:f>History!C10*B7</x:f>
        <x:v>55115.56554625</x:v>
      </x:c>
      <x:c r="C8" s="136" t="str">
        <x:v>$/t Sb</x:v>
      </x:c>
      <x:c r="D8" s="136" t="str">
        <x:v>Observed, linked</x:v>
      </x:c>
      <x:c r="E8" s="139" t="str">
        <x:v>USGS MCS 2026 2025 metal CIF price (S01)</x:v>
      </x:c>
      <x:c r="F8" s="136"/>
      <x:c r="G8" s="136"/>
      <x:c r="H8" s="136"/>
    </x:row>
    <x:row r="9" ht="20" customHeight="1">
      <x:c r="A9" s="136" t="str">
        <x:v>Qualified alternative import premium</x:v>
      </x:c>
      <x:c r="B9" s="153" t="n">
        <x:v>0.15</x:v>
      </x:c>
      <x:c r="C9" s="136" t="str">
        <x:v>% vs benchmark</x:v>
      </x:c>
      <x:c r="D9" s="136" t="str">
        <x:v>Illustrative</x:v>
      </x:c>
      <x:c r="E9" s="139" t="str">
        <x:v>All-in price premium for verified alternative source</x:v>
      </x:c>
      <x:c r="F9" s="136"/>
      <x:c r="G9" s="136"/>
      <x:c r="H9" s="136"/>
    </x:row>
    <x:row r="10" ht="20" customHeight="1">
      <x:c r="A10" s="136" t="str">
        <x:v>Domestic qualified supply premium</x:v>
      </x:c>
      <x:c r="B10" s="153" t="n">
        <x:v>0.2</x:v>
      </x:c>
      <x:c r="C10" s="136" t="str">
        <x:v>% vs benchmark</x:v>
      </x:c>
      <x:c r="D10" s="136" t="str">
        <x:v>Illustrative</x:v>
      </x:c>
      <x:c r="E10" s="139" t="str">
        <x:v>Offtake premium only after usable supply ramp</x:v>
      </x:c>
      <x:c r="F10" s="136"/>
      <x:c r="G10" s="136"/>
      <x:c r="H10" s="136"/>
    </x:row>
    <x:row r="11" ht="20" customHeight="1">
      <x:c r="A11" s="136" t="str">
        <x:v>Inventory annual carrying rate</x:v>
      </x:c>
      <x:c r="B11" s="153" t="n">
        <x:v>0.12</x:v>
      </x:c>
      <x:c r="C11" s="136" t="str">
        <x:v>% of inventory value</x:v>
      </x:c>
      <x:c r="D11" s="136" t="str">
        <x:v>Illustrative</x:v>
      </x:c>
      <x:c r="E11" s="139" t="str">
        <x:v>Storage + financing + insurance / obsolescence proxy</x:v>
      </x:c>
      <x:c r="F11" s="136"/>
      <x:c r="G11" s="136"/>
      <x:c r="H11" s="136"/>
    </x:row>
    <x:row r="12" ht="20" customHeight="1">
      <x:c r="A12" s="136" t="str">
        <x:v>Dashboard decision year</x:v>
      </x:c>
      <x:c r="B12" s="149" t="n">
        <x:v>2030</x:v>
      </x:c>
      <x:c r="C12" s="136" t="str">
        <x:v>calendar year</x:v>
      </x:c>
      <x:c r="D12" s="136" t="str">
        <x:v>Editable</x:v>
      </x:c>
      <x:c r="E12" s="139" t="str">
        <x:v>2027–2031 model window</x:v>
      </x:c>
      <x:c r="F12" s="136"/>
      <x:c r="G12" s="136"/>
      <x:c r="H12" s="136"/>
    </x:row>
    <x:row r="13" ht="20" customHeight="1">
      <x:c r="A13" s="136" t="str">
        <x:v>Illustrative inventory cash ceiling</x:v>
      </x:c>
      <x:c r="B13" s="155" t="n">
        <x:v>3000000</x:v>
      </x:c>
      <x:c r="C13" s="136" t="str">
        <x:v>USD</x:v>
      </x:c>
      <x:c r="D13" s="136" t="str">
        <x:v>Illustrative</x:v>
      </x:c>
      <x:c r="E13" s="139" t="str">
        <x:v>Buyer working-capital constraint; not known fact</x:v>
      </x:c>
      <x:c r="F13" s="136"/>
      <x:c r="G13" s="136"/>
      <x:c r="H13" s="136"/>
    </x:row>
    <x:row r="14" ht="20" customHeight="1">
      <x:c r="A14" s="136" t="str">
        <x:v>Severe residual shortfall ceiling</x:v>
      </x:c>
      <x:c r="B14" s="149" t="n">
        <x:v>5</x:v>
      </x:c>
      <x:c r="C14" s="136" t="str">
        <x:v>t Sb / year</x:v>
      </x:c>
      <x:c r="D14" s="136" t="str">
        <x:v>Illustrative</x:v>
      </x:c>
      <x:c r="E14" s="139" t="str">
        <x:v>Illustrative buyer tolerance</x:v>
      </x:c>
      <x:c r="F14" s="136"/>
      <x:c r="G14" s="136"/>
      <x:c r="H14" s="136"/>
    </x:row>
    <x:row r="15" ht="20" customHeight="1">
      <x:c r="A15" s="136"/>
      <x:c r="B15" s="136"/>
      <x:c r="C15" s="136"/>
      <x:c r="D15" s="136"/>
      <x:c r="E15" s="136"/>
      <x:c r="F15" s="136"/>
      <x:c r="G15" s="136"/>
      <x:c r="H15" s="136"/>
    </x:row>
    <x:row r="16" ht="20" customHeight="1">
      <x:c r="A16" s="136"/>
      <x:c r="B16" s="136"/>
      <x:c r="C16" s="136"/>
      <x:c r="D16" s="136"/>
      <x:c r="E16" s="136"/>
      <x:c r="F16" s="136"/>
      <x:c r="G16" s="136"/>
      <x:c r="H16" s="136"/>
    </x:row>
    <x:row r="17" ht="20" customHeight="1">
      <x:c r="A17" s="136" t="str">
        <x:v>Source-form rule</x:v>
      </x:c>
      <x:c r="B17" s="139" t="str">
        <x:v>Units reflect contained Sb-equivalent. USGS metal pricing is a reference, not a price for antimony trisulfide, oxide, or defense-qualified material.</x:v>
      </x:c>
      <x:c r="C17" s="139"/>
      <x:c r="D17" s="139"/>
      <x:c r="E17" s="139"/>
      <x:c r="F17" s="139"/>
      <x:c r="G17" s="139"/>
      <x:c r="H17" s="139"/>
    </x:row>
    <x:row r="18" ht="20" customHeight="1">
      <x:c r="A18" s="136"/>
      <x:c r="B18" s="139"/>
      <x:c r="C18" s="139"/>
      <x:c r="D18" s="139"/>
      <x:c r="E18" s="139"/>
      <x:c r="F18" s="139"/>
      <x:c r="G18" s="139"/>
      <x:c r="H18" s="139"/>
    </x:row>
    <x:row r="19" ht="20" customHeight="1">
      <x:c r="A19" s="136"/>
      <x:c r="B19" s="139"/>
      <x:c r="C19" s="139"/>
      <x:c r="D19" s="139"/>
      <x:c r="E19" s="139"/>
      <x:c r="F19" s="139"/>
      <x:c r="G19" s="139"/>
      <x:c r="H19" s="139"/>
    </x:row>
    <x:row r="20" ht="20" customHeight="1">
      <x:c r="A20" s="136"/>
      <x:c r="B20" s="136"/>
      <x:c r="C20" s="136"/>
      <x:c r="D20" s="136"/>
      <x:c r="E20" s="136"/>
      <x:c r="F20" s="136"/>
      <x:c r="G20" s="136"/>
      <x:c r="H20" s="136"/>
    </x:row>
    <x:row r="21" ht="20" customHeight="1">
      <x:c r="A21" s="136" t="str">
        <x:v>Procurement gate</x:v>
      </x:c>
      <x:c r="B21" s="139" t="str">
        <x:v>Before supplier award, verify grade, form, origin, refinery location, restricted end use, logistics lead time, export-control compliance, and validated qualification.</x:v>
      </x:c>
      <x:c r="C21" s="139"/>
      <x:c r="D21" s="139"/>
      <x:c r="E21" s="139"/>
      <x:c r="F21" s="139"/>
      <x:c r="G21" s="139"/>
      <x:c r="H21" s="139"/>
    </x:row>
    <x:row r="22" ht="20" customHeight="1">
      <x:c r="A22" s="136"/>
      <x:c r="B22" s="139"/>
      <x:c r="C22" s="139"/>
      <x:c r="D22" s="139"/>
      <x:c r="E22" s="139"/>
      <x:c r="F22" s="139"/>
      <x:c r="G22" s="139"/>
      <x:c r="H22" s="139"/>
    </x:row>
    <x:row r="23" ht="20" customHeight="1">
      <x:c r="A23" s="136"/>
      <x:c r="B23" s="139"/>
      <x:c r="C23" s="139"/>
      <x:c r="D23" s="139"/>
      <x:c r="E23" s="139"/>
      <x:c r="F23" s="139"/>
      <x:c r="G23" s="139"/>
      <x:c r="H23" s="139"/>
    </x:row>
    <x:row r="24" ht="20" customHeight="1">
      <x:c r="A24" s="136"/>
      <x:c r="B24" s="136"/>
      <x:c r="C24" s="136"/>
      <x:c r="D24" s="136"/>
      <x:c r="E24" s="136"/>
      <x:c r="F24" s="136"/>
      <x:c r="G24" s="136"/>
      <x:c r="H24" s="136"/>
    </x:row>
    <x:row r="25" ht="20" customHeight="1">
      <x:c r="A25" s="136"/>
      <x:c r="B25" s="136"/>
      <x:c r="C25" s="136"/>
      <x:c r="D25" s="136"/>
      <x:c r="E25" s="136"/>
      <x:c r="F25" s="136"/>
      <x:c r="G25" s="136"/>
      <x:c r="H25" s="136"/>
    </x:row>
    <x:row r="26" ht="20" customHeight="1">
      <x:c r="A26" s="136"/>
      <x:c r="B26" s="136"/>
      <x:c r="C26" s="136"/>
      <x:c r="D26" s="136"/>
      <x:c r="E26" s="136"/>
      <x:c r="F26" s="136"/>
      <x:c r="G26" s="136"/>
      <x:c r="H26" s="136"/>
    </x:row>
  </x:sheetData>
  <x:mergeCells>
    <x:mergeCell ref="A1:H2"/>
    <x:mergeCell ref="B17:H19"/>
    <x:mergeCell ref="B21:H23"/>
  </x:mergeCells>
  <x:pageMargins left="0.7" right="0.7" top="0.75" bottom="0.75" header="0.3" footer="0.3"/>
</x:worksheet>
</file>

<file path=xl/worksheets/sheet5.xml><?xml version="1.0" encoding="utf-8"?>
<x:worksheet xmlns:x="http://schemas.openxmlformats.org/spreadsheetml/2006/main">
  <x:sheetFormatPr defaultRowHeight="15"/>
  <x:cols>
    <x:col min="1" max="1" width="26" hidden="0" customWidth="1"/>
    <x:col min="2" max="2" width="21" hidden="0" customWidth="1"/>
    <x:col min="3" max="3" width="23" hidden="0" customWidth="1"/>
    <x:col min="4" max="4" width="23" hidden="0" customWidth="1"/>
    <x:col min="5" max="5" width="22" hidden="0" customWidth="1"/>
    <x:col min="6" max="6" width="18" hidden="0" customWidth="1"/>
    <x:col min="7" max="7" width="21" hidden="0" customWidth="1"/>
    <x:col min="8" max="8" width="19" hidden="0" customWidth="1"/>
    <x:col min="9" max="9" width="53" hidden="0" customWidth="1"/>
  </x:cols>
  <x:sheetData>
    <x:row r="1" ht="29" customHeight="1">
      <x:c r="A1" s="133" t="str">
        <x:v>RESPONSE ARCHETYPES  |  EDITABLE PROCUREMENT MIX</x:v>
      </x:c>
      <x:c r="B1" s="133"/>
      <x:c r="C1" s="133"/>
      <x:c r="D1" s="133"/>
      <x:c r="E1" s="133"/>
      <x:c r="F1" s="133"/>
      <x:c r="G1" s="133"/>
      <x:c r="H1" s="133"/>
      <x:c r="I1" s="133"/>
    </x:row>
    <x:row r="2" ht="29" customHeight="1">
      <x:c r="A2" s="133"/>
      <x:c r="B2" s="133"/>
      <x:c r="C2" s="133"/>
      <x:c r="D2" s="133"/>
      <x:c r="E2" s="133"/>
      <x:c r="F2" s="133"/>
      <x:c r="G2" s="133"/>
      <x:c r="H2" s="133"/>
      <x:c r="I2" s="133"/>
    </x:row>
    <x:row r="3" ht="25" customHeight="1">
      <x:c r="A3" s="135" t="str">
        <x:v>Shares are target volume mix • domestic target falls back to incumbent imports until technically and commercially qualified</x:v>
      </x:c>
      <x:c r="B3" s="135"/>
      <x:c r="C3" s="135"/>
      <x:c r="D3" s="135"/>
      <x:c r="E3" s="135"/>
      <x:c r="F3" s="135"/>
      <x:c r="G3" s="135"/>
      <x:c r="H3" s="135"/>
      <x:c r="I3" s="135"/>
    </x:row>
    <x:row r="4" ht="20" customHeight="1">
      <x:c r="A4" s="136"/>
      <x:c r="B4" s="136"/>
      <x:c r="C4" s="136"/>
      <x:c r="D4" s="136"/>
      <x:c r="E4" s="136"/>
      <x:c r="F4" s="136"/>
      <x:c r="G4" s="136"/>
      <x:c r="H4" s="136"/>
      <x:c r="I4" s="136"/>
    </x:row>
    <x:row r="5" ht="26" customHeight="1">
      <x:c r="A5" s="140" t="str">
        <x:v>Strategy</x:v>
      </x:c>
      <x:c r="B5" s="140" t="str">
        <x:v>Incumbent imports</x:v>
      </x:c>
      <x:c r="C5" s="140" t="str">
        <x:v>Alternative imports</x:v>
      </x:c>
      <x:c r="D5" s="140" t="str">
        <x:v>Domestic future offtake</x:v>
      </x:c>
      <x:c r="E5" s="140" t="str">
        <x:v>Inventory buffer (months)</x:v>
      </x:c>
      <x:c r="F5" s="140" t="str">
        <x:v>Sum of target shares</x:v>
      </x:c>
      <x:c r="G5" s="140" t="str">
        <x:v>Inventory value (USD)</x:v>
      </x:c>
      <x:c r="H5" s="140" t="str">
        <x:v>Cash hurdle</x:v>
      </x:c>
      <x:c r="I5" s="140" t="str">
        <x:v>Business logic</x:v>
      </x:c>
    </x:row>
    <x:row r="6" ht="20" customHeight="1">
      <x:c r="A6" s="136" t="str">
        <x:v>Domestic-led</x:v>
      </x:c>
      <x:c r="B6" s="153" t="n">
        <x:v>0.3</x:v>
      </x:c>
      <x:c r="C6" s="153" t="n">
        <x:v>0.25</x:v>
      </x:c>
      <x:c r="D6" s="153" t="n">
        <x:v>0.45</x:v>
      </x:c>
      <x:c r="E6" s="149" t="n">
        <x:v>2</x:v>
      </x:c>
      <x:c r="F6" s="146" t="n">
        <x:f>SUM(B6:D6)</x:f>
        <x:v>1</x:v>
      </x:c>
      <x:c r="G6" s="147" t="n">
        <x:f>Inputs!$B$6*E6/12*Inputs!$B$8</x:f>
        <x:v>918592.7591041668</x:v>
      </x:c>
      <x:c r="H6" s="136" t="str">
        <x:f>IF(G6&lt;=Inputs!$B$13,"WITHIN","EXCEEDS")</x:f>
        <x:v>WITHIN</x:v>
      </x:c>
      <x:c r="I6" s="139" t="str">
        <x:v>Prioritize future project entitlement; lean near-term buffer</x:v>
      </x:c>
    </x:row>
    <x:row r="7" ht="20" customHeight="1">
      <x:c r="A7" s="136" t="str">
        <x:v>Diversification-led</x:v>
      </x:c>
      <x:c r="B7" s="153" t="n">
        <x:v>0.45</x:v>
      </x:c>
      <x:c r="C7" s="153" t="n">
        <x:v>0.55</x:v>
      </x:c>
      <x:c r="D7" s="153" t="n">
        <x:v>0</x:v>
      </x:c>
      <x:c r="E7" s="149" t="n">
        <x:v>3</x:v>
      </x:c>
      <x:c r="F7" s="146" t="n">
        <x:f>SUM(B7:D7)</x:f>
        <x:v>1</x:v>
      </x:c>
      <x:c r="G7" s="147" t="n">
        <x:f>Inputs!$B$6*E7/12*Inputs!$B$8</x:f>
        <x:v>1377889.13865625</x:v>
      </x:c>
      <x:c r="H7" s="136" t="str">
        <x:f>IF(G7&lt;=Inputs!$B$13,"WITHIN","EXCEEDS")</x:f>
        <x:v>WITHIN</x:v>
      </x:c>
      <x:c r="I7" s="139" t="str">
        <x:v>Qualify additional foreign refiners and trace upstream origins</x:v>
      </x:c>
    </x:row>
    <x:row r="8" ht="20" customHeight="1">
      <x:c r="A8" s="136" t="str">
        <x:v>Inventory-led</x:v>
      </x:c>
      <x:c r="B8" s="153" t="n">
        <x:v>0.75</x:v>
      </x:c>
      <x:c r="C8" s="153" t="n">
        <x:v>0.25</x:v>
      </x:c>
      <x:c r="D8" s="153" t="n">
        <x:v>0</x:v>
      </x:c>
      <x:c r="E8" s="149" t="n">
        <x:v>9</x:v>
      </x:c>
      <x:c r="F8" s="146" t="n">
        <x:f>SUM(B8:D8)</x:f>
        <x:v>1</x:v>
      </x:c>
      <x:c r="G8" s="147" t="n">
        <x:f>Inputs!$B$6*E8/12*Inputs!$B$8</x:f>
        <x:v>4133667.41596875</x:v>
      </x:c>
      <x:c r="H8" s="136" t="str">
        <x:f>IF(G8&lt;=Inputs!$B$13,"WITHIN","EXCEEDS")</x:f>
        <x:v>EXCEEDS</x:v>
      </x:c>
      <x:c r="I8" s="139" t="str">
        <x:v>Cover extended interruptions with high working capital</x:v>
      </x:c>
    </x:row>
    <x:row r="9" ht="20" customHeight="1">
      <x:c r="A9" s="161" t="str">
        <x:v>Balanced</x:v>
      </x:c>
      <x:c r="B9" s="162" t="n">
        <x:v>0.25</x:v>
      </x:c>
      <x:c r="C9" s="162" t="n">
        <x:v>0.45</x:v>
      </x:c>
      <x:c r="D9" s="162" t="n">
        <x:v>0.3</x:v>
      </x:c>
      <x:c r="E9" s="163" t="n">
        <x:v>5</x:v>
      </x:c>
      <x:c r="F9" s="164" t="n">
        <x:f>SUM(B9:D9)</x:f>
        <x:v>1</x:v>
      </x:c>
      <x:c r="G9" s="165" t="n">
        <x:f>Inputs!$B$6*E9/12*Inputs!$B$8</x:f>
        <x:v>2296481.8977604164</x:v>
      </x:c>
      <x:c r="H9" s="161" t="str">
        <x:f>IF(G9&lt;=Inputs!$B$13,"WITHIN","EXCEEDS")</x:f>
        <x:v>WITHIN</x:v>
      </x:c>
      <x:c r="I9" s="138" t="str">
        <x:v>Provisional five-month buffer; verified alternative imports; domestic offtake after deliveries and product qualification</x:v>
      </x:c>
    </x:row>
    <x:row r="10" ht="20" customHeight="1">
      <x:c r="A10" s="136"/>
      <x:c r="B10" s="136"/>
      <x:c r="C10" s="136"/>
      <x:c r="D10" s="136"/>
      <x:c r="E10" s="136"/>
      <x:c r="F10" s="136"/>
      <x:c r="G10" s="136"/>
      <x:c r="H10" s="136"/>
      <x:c r="I10" s="136"/>
    </x:row>
    <x:row r="11" ht="20" customHeight="1">
      <x:c r="A11" s="136"/>
      <x:c r="B11" s="136"/>
      <x:c r="C11" s="136"/>
      <x:c r="D11" s="136"/>
      <x:c r="E11" s="136"/>
      <x:c r="F11" s="136"/>
      <x:c r="G11" s="136"/>
      <x:c r="H11" s="136"/>
      <x:c r="I11" s="136"/>
    </x:row>
    <x:row r="12" ht="20" customHeight="1">
      <x:c r="A12" s="136" t="str">
        <x:v>Mix interpretation</x:v>
      </x:c>
      <x:c r="B12" s="139" t="str">
        <x:v>Incumbent and diversified import lanes are hypothetical procurement channels; their origin exposure cannot be inferred from country import statistics.</x:v>
      </x:c>
      <x:c r="C12" s="139"/>
      <x:c r="D12" s="139"/>
      <x:c r="E12" s="139"/>
      <x:c r="F12" s="139"/>
      <x:c r="G12" s="139"/>
      <x:c r="H12" s="139"/>
      <x:c r="I12" s="139"/>
    </x:row>
    <x:row r="13" ht="20" customHeight="1">
      <x:c r="A13" s="136"/>
      <x:c r="B13" s="139"/>
      <x:c r="C13" s="139"/>
      <x:c r="D13" s="139"/>
      <x:c r="E13" s="139"/>
      <x:c r="F13" s="139"/>
      <x:c r="G13" s="139"/>
      <x:c r="H13" s="139"/>
      <x:c r="I13" s="139"/>
    </x:row>
    <x:row r="14" ht="20" customHeight="1">
      <x:c r="A14" s="136"/>
      <x:c r="B14" s="139"/>
      <x:c r="C14" s="139"/>
      <x:c r="D14" s="139"/>
      <x:c r="E14" s="139"/>
      <x:c r="F14" s="139"/>
      <x:c r="G14" s="139"/>
      <x:c r="H14" s="139"/>
      <x:c r="I14" s="139"/>
    </x:row>
    <x:row r="15" ht="20" customHeight="1">
      <x:c r="A15" s="136"/>
      <x:c r="B15" s="136"/>
      <x:c r="C15" s="136"/>
      <x:c r="D15" s="136"/>
      <x:c r="E15" s="136"/>
      <x:c r="F15" s="136"/>
      <x:c r="G15" s="136"/>
      <x:c r="H15" s="136"/>
      <x:c r="I15" s="136"/>
    </x:row>
    <x:row r="16" ht="20" customHeight="1">
      <x:c r="A16" s="136"/>
      <x:c r="B16" s="136"/>
      <x:c r="C16" s="136"/>
      <x:c r="D16" s="136"/>
      <x:c r="E16" s="136"/>
      <x:c r="F16" s="136"/>
      <x:c r="G16" s="136"/>
      <x:c r="H16" s="136"/>
      <x:c r="I16" s="136"/>
    </x:row>
  </x:sheetData>
  <x:mergeCells>
    <x:mergeCell ref="A1:I2"/>
    <x:mergeCell ref="B12:I14"/>
  </x:mergeCells>
  <x:pageMargins left="0.7" right="0.7" top="0.75" bottom="0.75" header="0.3" footer="0.3"/>
</x:worksheet>
</file>

<file path=xl/worksheets/sheet6.xml><?xml version="1.0" encoding="utf-8"?>
<x:worksheet xmlns:x="http://schemas.openxmlformats.org/spreadsheetml/2006/main">
  <x:sheetFormatPr defaultRowHeight="15"/>
  <x:cols>
    <x:col min="1" max="1" width="22" hidden="0" customWidth="1"/>
    <x:col min="2" max="2" width="20" hidden="0" customWidth="1"/>
    <x:col min="3" max="3" width="20" hidden="0" customWidth="1"/>
    <x:col min="4" max="4" width="23" hidden="0" customWidth="1"/>
    <x:col min="5" max="5" width="22" hidden="0" customWidth="1"/>
    <x:col min="6" max="6" width="23" hidden="0" customWidth="1"/>
    <x:col min="7" max="7" width="21" hidden="0" customWidth="1"/>
    <x:col min="8" max="8" width="23" hidden="0" customWidth="1"/>
    <x:col min="9" max="9" width="18" hidden="0" customWidth="1"/>
    <x:col min="10" max="10" width="26" hidden="0" customWidth="1"/>
  </x:cols>
  <x:sheetData>
    <x:row r="1" ht="29" customHeight="1">
      <x:c r="A1" s="133" t="str">
        <x:v>INTERRUPTION SCENARIOS  |  EDITABLE SHOCK ASSUMPTIONS</x:v>
      </x:c>
      <x:c r="B1" s="133"/>
      <x:c r="C1" s="133"/>
      <x:c r="D1" s="133"/>
      <x:c r="E1" s="133"/>
      <x:c r="F1" s="133"/>
      <x:c r="G1" s="133"/>
      <x:c r="H1" s="133"/>
      <x:c r="I1" s="133"/>
      <x:c r="J1" s="133"/>
    </x:row>
    <x:row r="2" ht="29" customHeight="1">
      <x:c r="A2" s="133"/>
      <x:c r="B2" s="133"/>
      <x:c r="C2" s="133"/>
      <x:c r="D2" s="133"/>
      <x:c r="E2" s="133"/>
      <x:c r="F2" s="133"/>
      <x:c r="G2" s="133"/>
      <x:c r="H2" s="133"/>
      <x:c r="I2" s="133"/>
      <x:c r="J2" s="133"/>
    </x:row>
    <x:row r="3" ht="25" customHeight="1">
      <x:c r="A3" s="135" t="str">
        <x:v>Scenario rates are conditional supply loss during disruption months, not event probabilities</x:v>
      </x:c>
      <x:c r="B3" s="135"/>
      <x:c r="C3" s="135"/>
      <x:c r="D3" s="135"/>
      <x:c r="E3" s="135"/>
      <x:c r="F3" s="135"/>
      <x:c r="G3" s="135"/>
      <x:c r="H3" s="135"/>
      <x:c r="I3" s="135"/>
      <x:c r="J3" s="135"/>
    </x:row>
    <x:row r="4" ht="20" customHeight="1">
      <x:c r="A4" s="136"/>
      <x:c r="B4" s="136"/>
      <x:c r="C4" s="136"/>
      <x:c r="D4" s="136"/>
      <x:c r="E4" s="136"/>
      <x:c r="F4" s="136"/>
      <x:c r="G4" s="136"/>
      <x:c r="H4" s="136"/>
      <x:c r="I4" s="136"/>
      <x:c r="J4" s="136"/>
    </x:row>
    <x:row r="5" ht="26" customHeight="1">
      <x:c r="A5" s="140" t="str">
        <x:v>Scenario</x:v>
      </x:c>
      <x:c r="B5" s="140" t="str">
        <x:v>Shock months</x:v>
      </x:c>
      <x:c r="C5" s="140" t="str">
        <x:v>Incumbent curtailed</x:v>
      </x:c>
      <x:c r="D5" s="140" t="str">
        <x:v>Alternative curtailed</x:v>
      </x:c>
      <x:c r="E5" s="140" t="str">
        <x:v>Domestic curtailed</x:v>
      </x:c>
      <x:c r="F5" s="140" t="str">
        <x:v>Emergency fill rate</x:v>
      </x:c>
      <x:c r="G5" s="140" t="str">
        <x:v>Spot price premium</x:v>
      </x:c>
      <x:c r="H5" s="140" t="str">
        <x:v>Evidence class</x:v>
      </x:c>
      <x:c r="I5" s="140" t="str">
        <x:v>Reference</x:v>
      </x:c>
      <x:c r="J5" s="140" t="str">
        <x:v>Interpretation</x:v>
      </x:c>
    </x:row>
    <x:row r="6" ht="20" customHeight="1">
      <x:c r="A6" s="136" t="str">
        <x:v>Base</x:v>
      </x:c>
      <x:c r="B6" s="149" t="n">
        <x:v>0</x:v>
      </x:c>
      <x:c r="C6" s="153" t="n">
        <x:v>0</x:v>
      </x:c>
      <x:c r="D6" s="153" t="n">
        <x:v>0</x:v>
      </x:c>
      <x:c r="E6" s="153" t="n">
        <x:v>0</x:v>
      </x:c>
      <x:c r="F6" s="153" t="n">
        <x:v>0</x:v>
      </x:c>
      <x:c r="G6" s="153" t="n">
        <x:v>0</x:v>
      </x:c>
      <x:c r="H6" s="136" t="str">
        <x:v>Illustrative</x:v>
      </x:c>
      <x:c r="I6" s="136" t="str">
        <x:v>Analytical baseline</x:v>
      </x:c>
      <x:c r="J6" s="136" t="str">
        <x:v>No modeled interruption</x:v>
      </x:c>
    </x:row>
    <x:row r="7" ht="20" customHeight="1">
      <x:c r="A7" s="136" t="str">
        <x:v>Stress</x:v>
      </x:c>
      <x:c r="B7" s="149" t="n">
        <x:v>4</x:v>
      </x:c>
      <x:c r="C7" s="153" t="n">
        <x:v>0.6</x:v>
      </x:c>
      <x:c r="D7" s="153" t="n">
        <x:v>0.2</x:v>
      </x:c>
      <x:c r="E7" s="153" t="n">
        <x:v>0.05</x:v>
      </x:c>
      <x:c r="F7" s="153" t="n">
        <x:v>0.2</x:v>
      </x:c>
      <x:c r="G7" s="153" t="n">
        <x:v>0.75</x:v>
      </x:c>
      <x:c r="H7" s="136" t="str">
        <x:v>Illustrative</x:v>
      </x:c>
      <x:c r="I7" s="136" t="str">
        <x:v>Analyst stress</x:v>
      </x:c>
      <x:c r="J7" s="136" t="str">
        <x:v>4-month interruption; partial emergency cover</x:v>
      </x:c>
    </x:row>
    <x:row r="8" ht="20" customHeight="1">
      <x:c r="A8" s="136" t="str">
        <x:v>Severe</x:v>
      </x:c>
      <x:c r="B8" s="149" t="n">
        <x:v>8</x:v>
      </x:c>
      <x:c r="C8" s="153" t="n">
        <x:v>0.9</x:v>
      </x:c>
      <x:c r="D8" s="153" t="n">
        <x:v>0.45</x:v>
      </x:c>
      <x:c r="E8" s="153" t="n">
        <x:v>0.15</x:v>
      </x:c>
      <x:c r="F8" s="153" t="n">
        <x:v>0.1</x:v>
      </x:c>
      <x:c r="G8" s="153" t="n">
        <x:v>1.5</x:v>
      </x:c>
      <x:c r="H8" s="136" t="str">
        <x:v>Illustrative</x:v>
      </x:c>
      <x:c r="I8" s="136" t="str">
        <x:v>Analyst severe</x:v>
      </x:c>
      <x:c r="J8" s="136" t="str">
        <x:v>Illustrative eight-month shock; not a frequency or probability forecast</x:v>
      </x:c>
    </x:row>
    <x:row r="9" ht="20" customHeight="1">
      <x:c r="A9" s="136"/>
      <x:c r="B9" s="136"/>
      <x:c r="C9" s="136"/>
      <x:c r="D9" s="136"/>
      <x:c r="E9" s="136"/>
      <x:c r="F9" s="136"/>
      <x:c r="G9" s="136"/>
      <x:c r="H9" s="136"/>
      <x:c r="I9" s="136"/>
      <x:c r="J9" s="136"/>
    </x:row>
    <x:row r="10" ht="20" customHeight="1">
      <x:c r="A10" s="136"/>
      <x:c r="B10" s="136"/>
      <x:c r="C10" s="136"/>
      <x:c r="D10" s="136"/>
      <x:c r="E10" s="136"/>
      <x:c r="F10" s="136"/>
      <x:c r="G10" s="136"/>
      <x:c r="H10" s="136"/>
      <x:c r="I10" s="136"/>
      <x:c r="J10" s="136"/>
    </x:row>
    <x:row r="11" ht="20" customHeight="1">
      <x:c r="A11" s="136"/>
      <x:c r="B11" s="136"/>
      <x:c r="C11" s="136"/>
      <x:c r="D11" s="136"/>
      <x:c r="E11" s="136"/>
      <x:c r="F11" s="136"/>
      <x:c r="G11" s="136"/>
      <x:c r="H11" s="136"/>
      <x:c r="I11" s="136"/>
      <x:c r="J11" s="136"/>
    </x:row>
    <x:row r="12" ht="20" customHeight="1">
      <x:c r="A12" s="136"/>
      <x:c r="B12" s="136"/>
      <x:c r="C12" s="136"/>
      <x:c r="D12" s="136"/>
      <x:c r="E12" s="136"/>
      <x:c r="F12" s="136"/>
      <x:c r="G12" s="136"/>
      <x:c r="H12" s="136"/>
      <x:c r="I12" s="136"/>
      <x:c r="J12" s="136"/>
    </x:row>
    <x:row r="13" ht="20" customHeight="1">
      <x:c r="A13" s="136"/>
      <x:c r="B13" s="136"/>
      <x:c r="C13" s="136"/>
      <x:c r="D13" s="136"/>
      <x:c r="E13" s="136"/>
      <x:c r="F13" s="136"/>
      <x:c r="G13" s="136"/>
      <x:c r="H13" s="136"/>
      <x:c r="I13" s="136"/>
      <x:c r="J13" s="136"/>
    </x:row>
  </x:sheetData>
  <x:mergeCells>
    <x:mergeCell ref="A1:J2"/>
  </x:mergeCells>
  <x:pageMargins left="0.7" right="0.7" top="0.75" bottom="0.75" header="0.3" footer="0.3"/>
</x:worksheet>
</file>

<file path=xl/worksheets/sheet7.xml><?xml version="1.0" encoding="utf-8"?>
<x:worksheet xmlns:x="http://schemas.openxmlformats.org/spreadsheetml/2006/main">
  <x:sheetFormatPr defaultRowHeight="15"/>
  <x:cols>
    <x:col min="1" max="1" width="21" hidden="0" customWidth="1"/>
    <x:col min="2" max="2" width="25" hidden="0" customWidth="1"/>
    <x:col min="3" max="3" width="18" hidden="0" customWidth="1"/>
    <x:col min="4" max="4" width="26" hidden="0" customWidth="1"/>
    <x:col min="5" max="5" width="53" hidden="0" customWidth="1"/>
    <x:col min="6" max="6" width="15" hidden="0" customWidth="1"/>
    <x:col min="7" max="7" width="16" hidden="0" customWidth="1"/>
  </x:cols>
  <x:sheetData>
    <x:row r="1" ht="29" customHeight="1">
      <x:c r="A1" s="133" t="str">
        <x:v>DOMESTIC QUALIFICATION  |  ASSUMED RAMP</x:v>
      </x:c>
      <x:c r="B1" s="133"/>
      <x:c r="C1" s="133"/>
      <x:c r="D1" s="133"/>
      <x:c r="E1" s="133"/>
      <x:c r="F1" s="133"/>
      <x:c r="G1" s="133"/>
    </x:row>
    <x:row r="2" ht="29" customHeight="1">
      <x:c r="A2" s="133"/>
      <x:c r="B2" s="133"/>
      <x:c r="C2" s="133"/>
      <x:c r="D2" s="133"/>
      <x:c r="E2" s="133"/>
      <x:c r="F2" s="133"/>
      <x:c r="G2" s="133"/>
    </x:row>
    <x:row r="3" ht="25" customHeight="1">
      <x:c r="A3" s="135" t="str">
        <x:v>Forward-looking scenario variable; no commercial antimony volume is credited without a future qualification milestone</x:v>
      </x:c>
      <x:c r="B3" s="135"/>
      <x:c r="C3" s="135"/>
      <x:c r="D3" s="135"/>
      <x:c r="E3" s="135"/>
      <x:c r="F3" s="135"/>
      <x:c r="G3" s="135"/>
    </x:row>
    <x:row r="4" ht="20" customHeight="1">
      <x:c r="A4" s="136"/>
      <x:c r="B4" s="136"/>
      <x:c r="C4" s="136"/>
      <x:c r="D4" s="136"/>
      <x:c r="E4" s="136"/>
      <x:c r="F4" s="136"/>
      <x:c r="G4" s="136"/>
    </x:row>
    <x:row r="5" ht="26" customHeight="1">
      <x:c r="A5" s="140" t="str">
        <x:v>Year</x:v>
      </x:c>
      <x:c r="B5" s="140" t="str">
        <x:v>Domestic share accessible</x:v>
      </x:c>
      <x:c r="C5" s="140" t="str">
        <x:v>Evidence class</x:v>
      </x:c>
      <x:c r="D5" s="140" t="str">
        <x:v>Gate status</x:v>
      </x:c>
      <x:c r="E5" s="140" t="str">
        <x:v>Meaning</x:v>
      </x:c>
      <x:c r="F5" s="140"/>
      <x:c r="G5" s="140"/>
    </x:row>
    <x:row r="6" ht="20" customHeight="1">
      <x:c r="A6" s="136" t="n">
        <x:v>2027</x:v>
      </x:c>
      <x:c r="B6" s="153" t="n">
        <x:v>0</x:v>
      </x:c>
      <x:c r="C6" s="136" t="str">
        <x:v>Illustrative</x:v>
      </x:c>
      <x:c r="D6" s="136" t="str">
        <x:v>Unqualified</x:v>
      </x:c>
      <x:c r="E6" s="136" t="str">
        <x:v>No future offtake assumed available</x:v>
      </x:c>
      <x:c r="F6" s="136"/>
      <x:c r="G6" s="136"/>
    </x:row>
    <x:row r="7" ht="20" customHeight="1">
      <x:c r="A7" s="136" t="n">
        <x:v>2028</x:v>
      </x:c>
      <x:c r="B7" s="153" t="n">
        <x:v>0</x:v>
      </x:c>
      <x:c r="C7" s="136" t="str">
        <x:v>Illustrative</x:v>
      </x:c>
      <x:c r="D7" s="136" t="str">
        <x:v>Unqualified</x:v>
      </x:c>
      <x:c r="E7" s="136" t="str">
        <x:v>Capacity and contract route still unverified</x:v>
      </x:c>
      <x:c r="F7" s="136"/>
      <x:c r="G7" s="136"/>
    </x:row>
    <x:row r="8" ht="20" customHeight="1">
      <x:c r="A8" s="136" t="n">
        <x:v>2029</x:v>
      </x:c>
      <x:c r="B8" s="153" t="n">
        <x:v>0</x:v>
      </x:c>
      <x:c r="C8" s="136" t="str">
        <x:v>Illustrative</x:v>
      </x:c>
      <x:c r="D8" s="136" t="str">
        <x:v>Unqualified</x:v>
      </x:c>
      <x:c r="E8" s="136" t="str">
        <x:v>Commercial readiness is uncertain</x:v>
      </x:c>
      <x:c r="F8" s="136"/>
      <x:c r="G8" s="136"/>
    </x:row>
    <x:row r="9" ht="20" customHeight="1">
      <x:c r="A9" s="136" t="n">
        <x:v>2030</x:v>
      </x:c>
      <x:c r="B9" s="153" t="n">
        <x:v>0.5</x:v>
      </x:c>
      <x:c r="C9" s="136" t="str">
        <x:v>Illustrative</x:v>
      </x:c>
      <x:c r="D9" s="136" t="str">
        <x:v>Conditional assumption</x:v>
      </x:c>
      <x:c r="E9" s="136" t="str">
        <x:v>Half of target domestic tranche qualified and deliverable</x:v>
      </x:c>
      <x:c r="F9" s="136"/>
      <x:c r="G9" s="136"/>
    </x:row>
    <x:row r="10" ht="20" customHeight="1">
      <x:c r="A10" s="136" t="n">
        <x:v>2031</x:v>
      </x:c>
      <x:c r="B10" s="153" t="n">
        <x:v>1</x:v>
      </x:c>
      <x:c r="C10" s="136" t="str">
        <x:v>Illustrative</x:v>
      </x:c>
      <x:c r="D10" s="136" t="str">
        <x:v>Conditional assumption</x:v>
      </x:c>
      <x:c r="E10" s="136" t="str">
        <x:v>Full target domestic tranche qualified and deliverable</x:v>
      </x:c>
      <x:c r="F10" s="136"/>
      <x:c r="G10" s="136"/>
    </x:row>
    <x:row r="11" ht="20" customHeight="1">
      <x:c r="A11" s="136"/>
      <x:c r="B11" s="136"/>
      <x:c r="C11" s="136"/>
      <x:c r="D11" s="136"/>
      <x:c r="E11" s="136"/>
      <x:c r="F11" s="136"/>
      <x:c r="G11" s="136"/>
    </x:row>
    <x:row r="12" ht="20" customHeight="1">
      <x:c r="A12" s="139" t="str">
        <x:v>Year-by-year domestic access is a scenario assumption for this buyer. The 2030 and 2031 values are contingent on production, downstream conversion into the specified product form, buyer qualification and accepted deliveries; no delivery forecast is established.</x:v>
      </x:c>
      <x:c r="B12" s="139"/>
      <x:c r="C12" s="139"/>
      <x:c r="D12" s="139"/>
      <x:c r="E12" s="139"/>
      <x:c r="F12" s="139"/>
      <x:c r="G12" s="139"/>
    </x:row>
    <x:row r="13" ht="20" customHeight="1">
      <x:c r="A13" s="139"/>
      <x:c r="B13" s="139"/>
      <x:c r="C13" s="139"/>
      <x:c r="D13" s="139"/>
      <x:c r="E13" s="139"/>
      <x:c r="F13" s="139"/>
      <x:c r="G13" s="139"/>
    </x:row>
    <x:row r="14" ht="20" customHeight="1">
      <x:c r="A14" s="139"/>
      <x:c r="B14" s="139"/>
      <x:c r="C14" s="139"/>
      <x:c r="D14" s="139"/>
      <x:c r="E14" s="139"/>
      <x:c r="F14" s="139"/>
      <x:c r="G14" s="139"/>
    </x:row>
  </x:sheetData>
  <x:mergeCells>
    <x:mergeCell ref="A1:G2"/>
    <x:mergeCell ref="A12:G14"/>
  </x:mergeCells>
  <x:pageMargins left="0.7" right="0.7" top="0.75" bottom="0.75" header="0.3" footer="0.3"/>
</x:worksheet>
</file>

<file path=xl/worksheets/sheet8.xml><?xml version="1.0" encoding="utf-8"?>
<x:worksheet xmlns:x="http://schemas.openxmlformats.org/spreadsheetml/2006/main">
  <x:sheetFormatPr defaultRowHeight="15"/>
  <x:cols>
    <x:col min="1" max="1" width="23" hidden="0" customWidth="1"/>
    <x:col min="2" max="2" width="31" hidden="0" customWidth="1"/>
    <x:col min="3" max="3" width="27" hidden="0" customWidth="1"/>
    <x:col min="4" max="4" width="20" hidden="0" customWidth="1"/>
    <x:col min="5" max="5" width="21" hidden="0" customWidth="1"/>
    <x:col min="6" max="6" width="22" hidden="0" customWidth="1"/>
    <x:col min="7" max="7" width="20" hidden="0" customWidth="1"/>
    <x:col min="8" max="8" width="13" hidden="0" customWidth="1"/>
    <x:col min="9" max="9" width="25" hidden="0" customWidth="1"/>
    <x:col min="10" max="10" width="31" hidden="0" customWidth="1"/>
    <x:col min="11" max="11" width="31" hidden="0" customWidth="1"/>
  </x:cols>
  <x:sheetData>
    <x:row r="1" ht="29" customHeight="1">
      <x:c r="A1" s="133" t="str">
        <x:v>PUBLIC FINANCING  |  NO DOUBLE COUNTING</x:v>
      </x:c>
      <x:c r="B1" s="133"/>
      <x:c r="C1" s="133"/>
      <x:c r="D1" s="133"/>
      <x:c r="E1" s="133"/>
      <x:c r="F1" s="133"/>
      <x:c r="G1" s="133"/>
      <x:c r="H1" s="133"/>
      <x:c r="I1" s="133"/>
      <x:c r="J1" s="133"/>
      <x:c r="K1" s="133"/>
    </x:row>
    <x:row r="2" ht="29" customHeight="1">
      <x:c r="A2" s="133"/>
      <x:c r="B2" s="133"/>
      <x:c r="C2" s="133"/>
      <x:c r="D2" s="133"/>
      <x:c r="E2" s="133"/>
      <x:c r="F2" s="133"/>
      <x:c r="G2" s="133"/>
      <x:c r="H2" s="133"/>
      <x:c r="I2" s="133"/>
      <x:c r="J2" s="133"/>
      <x:c r="K2" s="133"/>
    </x:row>
    <x:row r="3" ht="25" customHeight="1">
      <x:c r="A3" s="135" t="str">
        <x:v>Project-level public capital evidence • separate awards, approval statuses, and disbursements • no model-cost offsets</x:v>
      </x:c>
      <x:c r="B3" s="135"/>
      <x:c r="C3" s="135"/>
      <x:c r="D3" s="135"/>
      <x:c r="E3" s="135"/>
      <x:c r="F3" s="135"/>
      <x:c r="G3" s="135"/>
      <x:c r="H3" s="135"/>
      <x:c r="I3" s="135"/>
      <x:c r="J3" s="135"/>
      <x:c r="K3" s="135"/>
    </x:row>
    <x:row r="4" ht="20" customHeight="1">
      <x:c r="A4" s="136"/>
      <x:c r="B4" s="136"/>
      <x:c r="C4" s="136"/>
      <x:c r="D4" s="136"/>
      <x:c r="E4" s="136"/>
      <x:c r="F4" s="136"/>
      <x:c r="G4" s="136"/>
      <x:c r="H4" s="136"/>
      <x:c r="I4" s="136"/>
      <x:c r="J4" s="136"/>
      <x:c r="K4" s="136"/>
    </x:row>
    <x:row r="5" ht="26" customHeight="1">
      <x:c r="A5" s="140" t="str">
        <x:v>Program / project</x:v>
      </x:c>
      <x:c r="B5" s="140" t="str">
        <x:v>Recipient</x:v>
      </x:c>
      <x:c r="C5" s="140" t="str">
        <x:v>Instrument</x:v>
      </x:c>
      <x:c r="D5" s="140" t="str">
        <x:v>Reported USD (mm)</x:v>
      </x:c>
      <x:c r="E5" s="140" t="str">
        <x:v>Public status</x:v>
      </x:c>
      <x:c r="F5" s="140" t="str">
        <x:v>Disbursement status</x:v>
      </x:c>
      <x:c r="G5" s="140" t="str">
        <x:v>Overlap rule</x:v>
      </x:c>
      <x:c r="H5" s="140" t="str">
        <x:v>Source</x:v>
      </x:c>
      <x:c r="I5" s="140" t="str">
        <x:v>Model treatment</x:v>
      </x:c>
      <x:c r="J5" s="140" t="str">
        <x:v>Meaning</x:v>
      </x:c>
      <x:c r="K5" s="140" t="str">
        <x:v>Current dependency</x:v>
      </x:c>
    </x:row>
    <x:row r="6" ht="48" customHeight="1">
      <x:c r="A6" s="139" t="str">
        <x:v>DPA Title III / Stibnite</x:v>
      </x:c>
      <x:c r="B6" s="139" t="str">
        <x:v>Perpetua Resources Idaho Inc.</x:v>
      </x:c>
      <x:c r="C6" s="139" t="str">
        <x:v>Grant</x:v>
      </x:c>
      <x:c r="D6" s="166" t="n">
        <x:v>59.2</x:v>
      </x:c>
      <x:c r="E6" s="139" t="str">
        <x:v>Executed / expired 2025</x:v>
      </x:c>
      <x:c r="F6" s="139" t="str">
        <x:v>Fully disbursed</x:v>
      </x:c>
      <x:c r="G6" s="139" t="str">
        <x:v>Separate grant</x:v>
      </x:c>
      <x:c r="H6" s="139" t="str">
        <x:v>S06</x:v>
      </x:c>
      <x:c r="I6" s="139" t="str">
        <x:v>Context only</x:v>
      </x:c>
      <x:c r="J6" s="139" t="str">
        <x:v>Funds awarded under prior DPA agreement</x:v>
      </x:c>
      <x:c r="K6" s="139" t="str">
        <x:v>Historical expenditure; no buyer discount</x:v>
      </x:c>
    </x:row>
    <x:row r="7" ht="48" customHeight="1">
      <x:c r="A7" s="139" t="str">
        <x:v>Prototype OT / INL pilot</x:v>
      </x:c>
      <x:c r="B7" s="139" t="str">
        <x:v>Perpetua Resources Idaho Inc.</x:v>
      </x:c>
      <x:c r="C7" s="139" t="str">
        <x:v>OT agreement (grant-like)</x:v>
      </x:c>
      <x:c r="D7" s="166" t="n">
        <x:v>27.1</x:v>
      </x:c>
      <x:c r="E7" s="139" t="str">
        <x:v>Executed current estimate</x:v>
      </x:c>
      <x:c r="F7" s="139" t="str">
        <x:v>Partial reimbursements</x:v>
      </x:c>
      <x:c r="G7" s="139" t="str">
        <x:v>Distinct instrument</x:v>
      </x:c>
      <x:c r="H7" s="139" t="str">
        <x:v>S06</x:v>
      </x:c>
      <x:c r="I7" s="139" t="str">
        <x:v>Context only</x:v>
      </x:c>
      <x:c r="J7" s="139" t="str">
        <x:v>Current estimated amount; pilot facility</x:v>
      </x:c>
      <x:c r="K7" s="139" t="str">
        <x:v>Pilot ≠ commercial output</x:v>
      </x:c>
    </x:row>
    <x:row r="8" ht="48" customHeight="1">
      <x:c r="A8" s="139" t="str">
        <x:v>EXIM Stibnite</x:v>
      </x:c>
      <x:c r="B8" s="139" t="str">
        <x:v>Perpetua Resources Idaho Inc.</x:v>
      </x:c>
      <x:c r="C8" s="139" t="str">
        <x:v>Direct project loan</x:v>
      </x:c>
      <x:c r="D8" s="166" t="n">
        <x:v>2906</x:v>
      </x:c>
      <x:c r="E8" s="139" t="str">
        <x:v>Authorized at board</x:v>
      </x:c>
      <x:c r="F8" s="139" t="str">
        <x:v>Not established / conditional</x:v>
      </x:c>
      <x:c r="G8" s="139" t="str">
        <x:v>Loan, not subsidy</x:v>
      </x:c>
      <x:c r="H8" s="139" t="str">
        <x:v>S04/S05/S06</x:v>
      </x:c>
      <x:c r="I8" s="139" t="str">
        <x:v>Context only</x:v>
      </x:c>
      <x:c r="J8" s="139" t="str">
        <x:v>EXIM table lists US$2,906mm authorized</x:v>
      </x:c>
      <x:c r="K8" s="139" t="str">
        <x:v>Definitive documentation + conditions</x:v>
      </x:c>
    </x:row>
    <x:row r="9" ht="48" customHeight="1">
      <x:c r="A9" s="139" t="str">
        <x:v>DPA / US Antimony</x:v>
      </x:c>
      <x:c r="B9" s="139" t="str">
        <x:v>United States Antimony Corp.</x:v>
      </x:c>
      <x:c r="C9" s="139" t="str">
        <x:v>Grant</x:v>
      </x:c>
      <x:c r="D9" s="166" t="n">
        <x:v>27</x:v>
      </x:c>
      <x:c r="E9" s="139" t="str">
        <x:v>Awarded: $16.2m obligated as of Q2 2026</x:v>
      </x:c>
      <x:c r="F9" s="139" t="str">
        <x:v>$12.8m received by 30 June 2026</x:v>
      </x:c>
      <x:c r="G9" s="139" t="str">
        <x:v>$27m total includes $7m/$20m SMPT suballocations; SEC obligation timing separate</x:v>
      </x:c>
      <x:c r="H9" s="139" t="str">
        <x:v>S03 / S14</x:v>
      </x:c>
      <x:c r="I9" s="139" t="str">
        <x:v>Context only</x:v>
      </x:c>
      <x:c r="J9" s="139" t="str">
        <x:v>$10.8m later phases subject to authorization; $16.2m obligated; $12.8m collected</x:v>
      </x:c>
      <x:c r="K9" s="139" t="str">
        <x:v>Milestones, physical commissioning, quality acceptance, feedstock provenance</x:v>
      </x:c>
    </x:row>
    <x:row r="10" ht="48" customHeight="1">
      <x:c r="A10" s="139" t="str">
        <x:v>DPA / Estelle Alaska</x:v>
      </x:c>
      <x:c r="B10" s="139" t="str">
        <x:v>Alaska Range Resources LLC</x:v>
      </x:c>
      <x:c r="C10" s="139" t="str">
        <x:v>Grant</x:v>
      </x:c>
      <x:c r="D10" s="166" t="n">
        <x:v>43.4</x:v>
      </x:c>
      <x:c r="E10" s="139" t="str">
        <x:v>Contracted</x:v>
      </x:c>
      <x:c r="F10" s="139" t="str">
        <x:v>Not established here</x:v>
      </x:c>
      <x:c r="G10" s="139" t="str">
        <x:v>Separate recipient</x:v>
      </x:c>
      <x:c r="H10" s="139" t="str">
        <x:v>S03</x:v>
      </x:c>
      <x:c r="I10" s="139" t="str">
        <x:v>Context only</x:v>
      </x:c>
      <x:c r="J10" s="139" t="str">
        <x:v>SMPT DPA award to Alaska Range</x:v>
      </x:c>
      <x:c r="K10" s="139" t="str">
        <x:v>Project readiness and marketable product</x:v>
      </x:c>
    </x:row>
    <x:row r="11" ht="20" customHeight="1">
      <x:c r="A11" s="136"/>
      <x:c r="B11" s="136"/>
      <x:c r="C11" s="136"/>
      <x:c r="D11" s="136"/>
      <x:c r="E11" s="136"/>
      <x:c r="F11" s="136"/>
      <x:c r="G11" s="136"/>
      <x:c r="H11" s="136"/>
      <x:c r="I11" s="136"/>
      <x:c r="J11" s="136"/>
      <x:c r="K11" s="136"/>
    </x:row>
    <x:row r="12" ht="20" customHeight="1">
      <x:c r="A12" s="139" t="str">
        <x:v>FINANCING CLASSIFICATION  |  EXIM $2.906bn is board-authorized conditional debt; Perpetua DPA $59.2m is historical funding received; Perpetua OTIA ~$27.1m is a separate pilot estimate; U.S. Antimony $27m headline contains $16.2m obligated and $10.8m later-phase authority, with $12.8m collected by June 2026. No financing item is treated as stock, buyer cash or assured delivery.</x:v>
      </x:c>
      <x:c r="B12" s="139"/>
      <x:c r="C12" s="139"/>
      <x:c r="D12" s="139"/>
      <x:c r="E12" s="139"/>
      <x:c r="F12" s="139"/>
      <x:c r="G12" s="139"/>
      <x:c r="H12" s="139"/>
      <x:c r="I12" s="139"/>
      <x:c r="J12" s="139"/>
      <x:c r="K12" s="139"/>
    </x:row>
    <x:row r="13" ht="20" customHeight="1">
      <x:c r="A13" s="139"/>
      <x:c r="B13" s="139"/>
      <x:c r="C13" s="139"/>
      <x:c r="D13" s="139"/>
      <x:c r="E13" s="139"/>
      <x:c r="F13" s="139"/>
      <x:c r="G13" s="139"/>
      <x:c r="H13" s="139"/>
      <x:c r="I13" s="139"/>
      <x:c r="J13" s="139"/>
      <x:c r="K13" s="139"/>
    </x:row>
    <x:row r="14" ht="20" customHeight="1">
      <x:c r="A14" s="139"/>
      <x:c r="B14" s="139"/>
      <x:c r="C14" s="139"/>
      <x:c r="D14" s="139"/>
      <x:c r="E14" s="139"/>
      <x:c r="F14" s="139"/>
      <x:c r="G14" s="139"/>
      <x:c r="H14" s="139"/>
      <x:c r="I14" s="139"/>
      <x:c r="J14" s="139"/>
      <x:c r="K14" s="139"/>
    </x:row>
    <x:row r="15" ht="20" customHeight="1">
      <x:c r="A15" s="136"/>
      <x:c r="B15" s="136"/>
      <x:c r="C15" s="136"/>
      <x:c r="D15" s="136"/>
      <x:c r="E15" s="136"/>
      <x:c r="F15" s="136"/>
      <x:c r="G15" s="136"/>
      <x:c r="H15" s="136"/>
      <x:c r="I15" s="136"/>
      <x:c r="J15" s="136"/>
      <x:c r="K15" s="136"/>
    </x:row>
  </x:sheetData>
  <x:mergeCells>
    <x:mergeCell ref="A1:K2"/>
    <x:mergeCell ref="A12:K14"/>
  </x:mergeCells>
  <x:pageMargins left="0.7" right="0.7" top="0.75" bottom="0.75" header="0.3" footer="0.3"/>
</x:worksheet>
</file>

<file path=xl/worksheets/sheet9.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2" hidden="0" customWidth="1"/>
    <x:col min="2" max="2" width="26" hidden="0" customWidth="1"/>
    <x:col min="3" max="3" width="15" hidden="0" customWidth="1"/>
    <x:col min="4" max="4" width="18" hidden="0" customWidth="1"/>
    <x:col min="5" max="5" width="19" hidden="0" customWidth="1"/>
    <x:col min="6" max="6" width="19" hidden="0" customWidth="1"/>
    <x:col min="7" max="7" width="18" hidden="0" customWidth="1"/>
    <x:col min="8" max="8" width="19" hidden="0" customWidth="1"/>
    <x:col min="9" max="9" width="19" hidden="0" customWidth="1"/>
    <x:col min="10" max="10" width="19" hidden="0" customWidth="1"/>
    <x:col min="11" max="11" width="19" hidden="0" customWidth="1"/>
    <x:col min="12" max="12" width="19" hidden="0" customWidth="1"/>
    <x:col min="13" max="13" width="16" hidden="0" customWidth="1"/>
    <x:col min="14" max="14" width="22" hidden="0" customWidth="1"/>
    <x:col min="15" max="15" width="20" hidden="0" customWidth="1"/>
    <x:col min="16" max="16" width="21" hidden="0" customWidth="1"/>
    <x:col min="17" max="17" width="23" hidden="0" customWidth="1"/>
    <x:col min="18" max="18" width="22" hidden="0" customWidth="1"/>
    <x:col min="19" max="19" width="13" hidden="0" customWidth="1"/>
    <x:col min="20" max="20" width="13" hidden="0" customWidth="1"/>
    <x:col min="21" max="21" width="25" hidden="0" customWidth="1"/>
  </x:cols>
  <x:sheetData>
    <x:row r="1" ht="29" customHeight="1">
      <x:c r="A1" s="133" t="str">
        <x:v>ANNUAL SUPPLY INTERRUPTION  |  ALL FORMULAS</x:v>
      </x:c>
      <x:c r="B1" s="133"/>
      <x:c r="C1" s="133"/>
      <x:c r="D1" s="167"/>
      <x:c r="E1" s="145"/>
      <x:c r="F1" s="145"/>
      <x:c r="G1" s="145"/>
      <x:c r="H1" s="167"/>
      <x:c r="I1" s="167"/>
      <x:c r="J1" s="167"/>
      <x:c r="K1" s="167"/>
      <x:c r="L1" s="167"/>
      <x:c r="M1" s="145"/>
      <x:c r="N1" s="168"/>
      <x:c r="O1" s="168"/>
      <x:c r="P1" s="168"/>
      <x:c r="Q1" s="168"/>
      <x:c r="R1" s="168"/>
      <x:c r="S1" s="133"/>
      <x:c r="T1" s="133"/>
      <x:c r="U1" s="133"/>
    </x:row>
    <x:row r="2" ht="29" customHeight="1">
      <x:c r="A2" s="133"/>
      <x:c r="B2" s="133"/>
      <x:c r="C2" s="133"/>
      <x:c r="D2" s="133"/>
      <x:c r="E2" s="133"/>
      <x:c r="F2" s="133"/>
      <x:c r="G2" s="133"/>
      <x:c r="H2" s="133"/>
      <x:c r="I2" s="133"/>
      <x:c r="J2" s="133"/>
      <x:c r="K2" s="133"/>
      <x:c r="L2" s="133"/>
      <x:c r="M2" s="133"/>
      <x:c r="N2" s="133"/>
      <x:c r="O2" s="133"/>
      <x:c r="P2" s="133"/>
      <x:c r="Q2" s="133"/>
      <x:c r="R2" s="133"/>
      <x:c r="S2" s="133"/>
      <x:c r="T2" s="133"/>
      <x:c r="U2" s="133"/>
    </x:row>
    <x:row r="3" ht="25" customHeight="1">
      <x:c r="A3" s="135" t="str">
        <x:v>Every annual scenario resets starting buffer • all supplier shares, discounts, and interruption severity are spreadsheet-linked</x:v>
      </x:c>
      <x:c r="B3" s="135"/>
      <x:c r="C3" s="135"/>
      <x:c r="D3" s="135"/>
      <x:c r="E3" s="135"/>
      <x:c r="F3" s="135"/>
      <x:c r="G3" s="135"/>
      <x:c r="H3" s="135"/>
      <x:c r="I3" s="135"/>
      <x:c r="J3" s="135"/>
      <x:c r="K3" s="135"/>
      <x:c r="L3" s="135"/>
      <x:c r="M3" s="135"/>
      <x:c r="N3" s="135"/>
      <x:c r="O3" s="135"/>
      <x:c r="P3" s="135"/>
      <x:c r="Q3" s="135"/>
      <x:c r="R3" s="135"/>
      <x:c r="S3" s="135"/>
      <x:c r="T3" s="135"/>
      <x:c r="U3" s="135"/>
    </x:row>
    <x:row r="4" ht="26" customHeight="1">
      <x:c r="A4" s="140" t="str">
        <x:v>Year</x:v>
      </x:c>
      <x:c r="B4" s="140" t="str">
        <x:v>Strategy</x:v>
      </x:c>
      <x:c r="C4" s="140" t="str">
        <x:v>Scenario</x:v>
      </x:c>
      <x:c r="D4" s="140" t="str">
        <x:v>Demand (t Sb)</x:v>
      </x:c>
      <x:c r="E4" s="140" t="str">
        <x:v>Domestic share</x:v>
      </x:c>
      <x:c r="F4" s="140" t="str">
        <x:v>Alternative share</x:v>
      </x:c>
      <x:c r="G4" s="140" t="str">
        <x:v>Incumbent share</x:v>
      </x:c>
      <x:c r="H4" s="140" t="str">
        <x:v>Gross lost (t)</x:v>
      </x:c>
      <x:c r="I4" s="140" t="str">
        <x:v>Stock (t)</x:v>
      </x:c>
      <x:c r="J4" s="140" t="str">
        <x:v>Stock drawn (t)</x:v>
      </x:c>
      <x:c r="K4" s="140" t="str">
        <x:v>Emergency (t)</x:v>
      </x:c>
      <x:c r="L4" s="140" t="str">
        <x:v>Unfilled (t)</x:v>
      </x:c>
      <x:c r="M4" s="140" t="str">
        <x:v>Service rate</x:v>
      </x:c>
      <x:c r="N4" s="140" t="str">
        <x:v>Regular prem. ($)</x:v>
      </x:c>
      <x:c r="O4" s="140" t="str">
        <x:v>Carry cost ($)</x:v>
      </x:c>
      <x:c r="P4" s="140" t="str">
        <x:v>Spot premium ($)</x:v>
      </x:c>
      <x:c r="Q4" s="140" t="str">
        <x:v>Add. spend ($)</x:v>
      </x:c>
      <x:c r="R4" s="140" t="str">
        <x:v>Stock cash ($)</x:v>
      </x:c>
      <x:c r="S4" s="140" t="str">
        <x:v>Cash cap</x:v>
      </x:c>
      <x:c r="T4" s="140" t="str">
        <x:v>Gap cap</x:v>
      </x:c>
      <x:c r="U4" s="140" t="str">
        <x:v>Form / unit</x:v>
      </x:c>
    </x:row>
    <x:row r="5" ht="20" customHeight="1">
      <x:c r="A5" s="136" t="n">
        <x:v>2027</x:v>
      </x:c>
      <x:c r="B5" s="136" t="str">
        <x:v>Domestic-led</x:v>
      </x:c>
      <x:c r="C5" s="136" t="str">
        <x:v>Base</x:v>
      </x:c>
      <x:c r="D5" s="136" t="n">
        <x:f>Inputs!$B$6</x:f>
        <x:v>100</x:v>
      </x:c>
      <x:c r="E5" s="136" t="n">
        <x:f>Options!$D$6*Ramp!$B$6</x:f>
        <x:v>0</x:v>
      </x:c>
      <x:c r="F5" s="136" t="n">
        <x:f>Options!$C$6</x:f>
        <x:v>0.25</x:v>
      </x:c>
      <x:c r="G5" s="136" t="n">
        <x:f>1-E5-F5</x:f>
        <x:v>0.75</x:v>
      </x:c>
      <x:c r="H5" s="136" t="n">
        <x:f>D5*Scenarios!$B$6/12*(G5*Scenarios!$C$6+F5*Scenarios!$D$6+E5*Scenarios!$E$6)</x:f>
        <x:v>0</x:v>
      </x:c>
      <x:c r="I5" s="136" t="n">
        <x:f>D5*Options!$E$6/12</x:f>
        <x:v>16.666666666666668</x:v>
      </x:c>
      <x:c r="J5" s="136" t="n">
        <x:f>MIN(H5,I5)</x:f>
        <x:v>0</x:v>
      </x:c>
      <x:c r="K5" s="136" t="n">
        <x:f>MAX(0,H5-J5)*Scenarios!$F$6</x:f>
        <x:v>0</x:v>
      </x:c>
      <x:c r="L5" s="136" t="n">
        <x:f>MAX(0,H5-J5-K5)</x:f>
        <x:v>0</x:v>
      </x:c>
      <x:c r="M5" s="136" t="n">
        <x:f>IF(D5&gt;0,1-L5/D5,0)</x:f>
        <x:v>1</x:v>
      </x:c>
      <x:c r="N5" s="136" t="n">
        <x:f>D5*Inputs!$B$8*(F5*Inputs!$B$9+E5*Inputs!$B$10)</x:f>
        <x:v>206683.37079843748</x:v>
      </x:c>
      <x:c r="O5" s="136" t="n">
        <x:f>I5*Inputs!$B$8*Inputs!$B$11</x:f>
        <x:v>110231.13109250001</x:v>
      </x:c>
      <x:c r="P5" s="136" t="n">
        <x:f>K5*Inputs!$B$8*Scenarios!$G$6</x:f>
        <x:v>0</x:v>
      </x:c>
      <x:c r="Q5" s="136" t="n">
        <x:f>SUM(N5:P5)</x:f>
        <x:v>316914.5018909375</x:v>
      </x:c>
      <x:c r="R5" s="136" t="n">
        <x:f>I5*Inputs!$B$8</x:f>
        <x:v>918592.7591041668</x:v>
      </x:c>
      <x:c r="S5" s="136" t="str">
        <x:f>IF(R5&lt;=Inputs!$B$13,"PASS","EXCEEDS")</x:f>
        <x:v>PASS</x:v>
      </x:c>
      <x:c r="T5" s="136" t="str">
        <x:f>IF(L5&lt;=Inputs!$B$14,"PASS","EXCEEDS")</x:f>
        <x:v>PASS</x:v>
      </x:c>
      <x:c r="U5" s="136" t="str">
        <x:v>Sb-equivalent; illustrative</x:v>
      </x:c>
    </x:row>
    <x:row r="6" ht="20" customHeight="1">
      <x:c r="A6" s="136" t="n">
        <x:v>2027</x:v>
      </x:c>
      <x:c r="B6" s="136" t="str">
        <x:v>Domestic-led</x:v>
      </x:c>
      <x:c r="C6" s="136" t="str">
        <x:v>Stress</x:v>
      </x:c>
      <x:c r="D6" s="136" t="n">
        <x:f>Inputs!$B$6</x:f>
        <x:v>100</x:v>
      </x:c>
      <x:c r="E6" s="136" t="n">
        <x:f>Options!$D$6*Ramp!$B$6</x:f>
        <x:v>0</x:v>
      </x:c>
      <x:c r="F6" s="136" t="n">
        <x:f>Options!$C$6</x:f>
        <x:v>0.25</x:v>
      </x:c>
      <x:c r="G6" s="136" t="n">
        <x:f>1-E6-F6</x:f>
        <x:v>0.75</x:v>
      </x:c>
      <x:c r="H6" s="136" t="n">
        <x:f>D6*Scenarios!$B$7/12*(G6*Scenarios!$C$7+F6*Scenarios!$D$7+E6*Scenarios!$E$7)</x:f>
        <x:v>16.666666666666664</x:v>
      </x:c>
      <x:c r="I6" s="136" t="n">
        <x:f>D6*Options!$E$6/12</x:f>
        <x:v>16.666666666666668</x:v>
      </x:c>
      <x:c r="J6" s="136" t="n">
        <x:f>MIN(H6,I6)</x:f>
        <x:v>16.666666666666664</x:v>
      </x:c>
      <x:c r="K6" s="136" t="n">
        <x:f>MAX(0,H6-J6)*Scenarios!$F$7</x:f>
        <x:v>0</x:v>
      </x:c>
      <x:c r="L6" s="136" t="n">
        <x:f>MAX(0,H6-J6-K6)</x:f>
        <x:v>0</x:v>
      </x:c>
      <x:c r="M6" s="136" t="n">
        <x:f>IF(D6&gt;0,1-L6/D6,0)</x:f>
        <x:v>1</x:v>
      </x:c>
      <x:c r="N6" s="136" t="n">
        <x:f>D6*Inputs!$B$8*(F6*Inputs!$B$9+E6*Inputs!$B$10)</x:f>
        <x:v>206683.37079843748</x:v>
      </x:c>
      <x:c r="O6" s="136" t="n">
        <x:f>I6*Inputs!$B$8*Inputs!$B$11</x:f>
        <x:v>110231.13109250001</x:v>
      </x:c>
      <x:c r="P6" s="136" t="n">
        <x:f>K6*Inputs!$B$8*Scenarios!$G$7</x:f>
        <x:v>0</x:v>
      </x:c>
      <x:c r="Q6" s="136" t="n">
        <x:f>SUM(N6:P6)</x:f>
        <x:v>316914.5018909375</x:v>
      </x:c>
      <x:c r="R6" s="136" t="n">
        <x:f>I6*Inputs!$B$8</x:f>
        <x:v>918592.7591041668</x:v>
      </x:c>
      <x:c r="S6" s="136" t="str">
        <x:f>IF(R6&lt;=Inputs!$B$13,"PASS","EXCEEDS")</x:f>
        <x:v>PASS</x:v>
      </x:c>
      <x:c r="T6" s="136" t="str">
        <x:f>IF(L6&lt;=Inputs!$B$14,"PASS","EXCEEDS")</x:f>
        <x:v>PASS</x:v>
      </x:c>
      <x:c r="U6" s="136" t="str">
        <x:v>Sb-equivalent; illustrative</x:v>
      </x:c>
    </x:row>
    <x:row r="7" ht="20" customHeight="1">
      <x:c r="A7" s="161" t="n">
        <x:v>2027</x:v>
      </x:c>
      <x:c r="B7" s="161" t="str">
        <x:v>Domestic-led</x:v>
      </x:c>
      <x:c r="C7" s="161" t="str">
        <x:v>Severe</x:v>
      </x:c>
      <x:c r="D7" s="136" t="n">
        <x:f>Inputs!$B$6</x:f>
        <x:v>100</x:v>
      </x:c>
      <x:c r="E7" s="136" t="n">
        <x:f>Options!$D$6*Ramp!$B$6</x:f>
        <x:v>0</x:v>
      </x:c>
      <x:c r="F7" s="136" t="n">
        <x:f>Options!$C$6</x:f>
        <x:v>0.25</x:v>
      </x:c>
      <x:c r="G7" s="136" t="n">
        <x:f>1-E7-F7</x:f>
        <x:v>0.75</x:v>
      </x:c>
      <x:c r="H7" s="136" t="n">
        <x:f>D7*Scenarios!$B$8/12*(G7*Scenarios!$C$8+F7*Scenarios!$D$8+E7*Scenarios!$E$8)</x:f>
        <x:v>52.50000000000001</x:v>
      </x:c>
      <x:c r="I7" s="136" t="n">
        <x:f>D7*Options!$E$6/12</x:f>
        <x:v>16.666666666666668</x:v>
      </x:c>
      <x:c r="J7" s="136" t="n">
        <x:f>MIN(H7,I7)</x:f>
        <x:v>16.666666666666668</x:v>
      </x:c>
      <x:c r="K7" s="136" t="n">
        <x:f>MAX(0,H7-J7)*Scenarios!$F$8</x:f>
        <x:v>3.5833333333333344</x:v>
      </x:c>
      <x:c r="L7" s="136" t="n">
        <x:f>MAX(0,H7-J7-K7)</x:f>
        <x:v>32.25000000000001</x:v>
      </x:c>
      <x:c r="M7" s="136" t="n">
        <x:f>IF(D7&gt;0,1-L7/D7,0)</x:f>
        <x:v>0.6775</x:v>
      </x:c>
      <x:c r="N7" s="136" t="n">
        <x:f>D7*Inputs!$B$8*(F7*Inputs!$B$9+E7*Inputs!$B$10)</x:f>
        <x:v>206683.37079843748</x:v>
      </x:c>
      <x:c r="O7" s="136" t="n">
        <x:f>I7*Inputs!$B$8*Inputs!$B$11</x:f>
        <x:v>110231.13109250001</x:v>
      </x:c>
      <x:c r="P7" s="136" t="n">
        <x:f>K7*Inputs!$B$8*Scenarios!$G$8</x:f>
        <x:v>296246.1648110938</x:v>
      </x:c>
      <x:c r="Q7" s="136" t="n">
        <x:f>SUM(N7:P7)</x:f>
        <x:v>613160.6667020314</x:v>
      </x:c>
      <x:c r="R7" s="136" t="n">
        <x:f>I7*Inputs!$B$8</x:f>
        <x:v>918592.7591041668</x:v>
      </x:c>
      <x:c r="S7" s="136" t="str">
        <x:f>IF(R7&lt;=Inputs!$B$13,"PASS","EXCEEDS")</x:f>
        <x:v>PASS</x:v>
      </x:c>
      <x:c r="T7" s="136" t="str">
        <x:f>IF(L7&lt;=Inputs!$B$14,"PASS","EXCEEDS")</x:f>
        <x:v>EXCEEDS</x:v>
      </x:c>
      <x:c r="U7" s="136" t="str">
        <x:v>Sb-equivalent; illustrative</x:v>
      </x:c>
    </x:row>
    <x:row r="8" ht="20" customHeight="1">
      <x:c r="A8" s="136" t="n">
        <x:v>2027</x:v>
      </x:c>
      <x:c r="B8" s="136" t="str">
        <x:v>Diversification-led</x:v>
      </x:c>
      <x:c r="C8" s="136" t="str">
        <x:v>Base</x:v>
      </x:c>
      <x:c r="D8" s="136" t="n">
        <x:f>Inputs!$B$6</x:f>
        <x:v>100</x:v>
      </x:c>
      <x:c r="E8" s="136" t="n">
        <x:f>Options!$D$7*Ramp!$B$6</x:f>
        <x:v>0</x:v>
      </x:c>
      <x:c r="F8" s="136" t="n">
        <x:f>Options!$C$7</x:f>
        <x:v>0.55</x:v>
      </x:c>
      <x:c r="G8" s="136" t="n">
        <x:f>1-E8-F8</x:f>
        <x:v>0.44999999999999996</x:v>
      </x:c>
      <x:c r="H8" s="136" t="n">
        <x:f>D8*Scenarios!$B$6/12*(G8*Scenarios!$C$6+F8*Scenarios!$D$6+E8*Scenarios!$E$6)</x:f>
        <x:v>0</x:v>
      </x:c>
      <x:c r="I8" s="136" t="n">
        <x:f>D8*Options!$E$7/12</x:f>
        <x:v>25</x:v>
      </x:c>
      <x:c r="J8" s="136" t="n">
        <x:f>MIN(H8,I8)</x:f>
        <x:v>0</x:v>
      </x:c>
      <x:c r="K8" s="136" t="n">
        <x:f>MAX(0,H8-J8)*Scenarios!$F$6</x:f>
        <x:v>0</x:v>
      </x:c>
      <x:c r="L8" s="136" t="n">
        <x:f>MAX(0,H8-J8-K8)</x:f>
        <x:v>0</x:v>
      </x:c>
      <x:c r="M8" s="136" t="n">
        <x:f>IF(D8&gt;0,1-L8/D8,0)</x:f>
        <x:v>1</x:v>
      </x:c>
      <x:c r="N8" s="136" t="n">
        <x:f>D8*Inputs!$B$8*(F8*Inputs!$B$9+E8*Inputs!$B$10)</x:f>
        <x:v>454703.4157565625</x:v>
      </x:c>
      <x:c r="O8" s="136" t="n">
        <x:f>I8*Inputs!$B$8*Inputs!$B$11</x:f>
        <x:v>165346.69663875</x:v>
      </x:c>
      <x:c r="P8" s="136" t="n">
        <x:f>K8*Inputs!$B$8*Scenarios!$G$6</x:f>
        <x:v>0</x:v>
      </x:c>
      <x:c r="Q8" s="136" t="n">
        <x:f>SUM(N8:P8)</x:f>
        <x:v>620050.1123953125</x:v>
      </x:c>
      <x:c r="R8" s="136" t="n">
        <x:f>I8*Inputs!$B$8</x:f>
        <x:v>1377889.13865625</x:v>
      </x:c>
      <x:c r="S8" s="136" t="str">
        <x:f>IF(R8&lt;=Inputs!$B$13,"PASS","EXCEEDS")</x:f>
        <x:v>PASS</x:v>
      </x:c>
      <x:c r="T8" s="136" t="str">
        <x:f>IF(L8&lt;=Inputs!$B$14,"PASS","EXCEEDS")</x:f>
        <x:v>PASS</x:v>
      </x:c>
      <x:c r="U8" s="136" t="str">
        <x:v>Sb-equivalent; illustrative</x:v>
      </x:c>
    </x:row>
    <x:row r="9" ht="20" customHeight="1">
      <x:c r="A9" s="136" t="n">
        <x:v>2027</x:v>
      </x:c>
      <x:c r="B9" s="136" t="str">
        <x:v>Diversification-led</x:v>
      </x:c>
      <x:c r="C9" s="136" t="str">
        <x:v>Stress</x:v>
      </x:c>
      <x:c r="D9" s="136" t="n">
        <x:f>Inputs!$B$6</x:f>
        <x:v>100</x:v>
      </x:c>
      <x:c r="E9" s="136" t="n">
        <x:f>Options!$D$7*Ramp!$B$6</x:f>
        <x:v>0</x:v>
      </x:c>
      <x:c r="F9" s="136" t="n">
        <x:f>Options!$C$7</x:f>
        <x:v>0.55</x:v>
      </x:c>
      <x:c r="G9" s="136" t="n">
        <x:f>1-E9-F9</x:f>
        <x:v>0.44999999999999996</x:v>
      </x:c>
      <x:c r="H9" s="136" t="n">
        <x:f>D9*Scenarios!$B$7/12*(G9*Scenarios!$C$7+F9*Scenarios!$D$7+E9*Scenarios!$E$7)</x:f>
        <x:v>12.666666666666668</x:v>
      </x:c>
      <x:c r="I9" s="136" t="n">
        <x:f>D9*Options!$E$7/12</x:f>
        <x:v>25</x:v>
      </x:c>
      <x:c r="J9" s="136" t="n">
        <x:f>MIN(H9,I9)</x:f>
        <x:v>12.666666666666668</x:v>
      </x:c>
      <x:c r="K9" s="136" t="n">
        <x:f>MAX(0,H9-J9)*Scenarios!$F$7</x:f>
        <x:v>0</x:v>
      </x:c>
      <x:c r="L9" s="136" t="n">
        <x:f>MAX(0,H9-J9-K9)</x:f>
        <x:v>0</x:v>
      </x:c>
      <x:c r="M9" s="136" t="n">
        <x:f>IF(D9&gt;0,1-L9/D9,0)</x:f>
        <x:v>1</x:v>
      </x:c>
      <x:c r="N9" s="136" t="n">
        <x:f>D9*Inputs!$B$8*(F9*Inputs!$B$9+E9*Inputs!$B$10)</x:f>
        <x:v>454703.4157565625</x:v>
      </x:c>
      <x:c r="O9" s="136" t="n">
        <x:f>I9*Inputs!$B$8*Inputs!$B$11</x:f>
        <x:v>165346.69663875</x:v>
      </x:c>
      <x:c r="P9" s="136" t="n">
        <x:f>K9*Inputs!$B$8*Scenarios!$G$7</x:f>
        <x:v>0</x:v>
      </x:c>
      <x:c r="Q9" s="136" t="n">
        <x:f>SUM(N9:P9)</x:f>
        <x:v>620050.1123953125</x:v>
      </x:c>
      <x:c r="R9" s="136" t="n">
        <x:f>I9*Inputs!$B$8</x:f>
        <x:v>1377889.13865625</x:v>
      </x:c>
      <x:c r="S9" s="136" t="str">
        <x:f>IF(R9&lt;=Inputs!$B$13,"PASS","EXCEEDS")</x:f>
        <x:v>PASS</x:v>
      </x:c>
      <x:c r="T9" s="136" t="str">
        <x:f>IF(L9&lt;=Inputs!$B$14,"PASS","EXCEEDS")</x:f>
        <x:v>PASS</x:v>
      </x:c>
      <x:c r="U9" s="136" t="str">
        <x:v>Sb-equivalent; illustrative</x:v>
      </x:c>
    </x:row>
    <x:row r="10" ht="20" customHeight="1">
      <x:c r="A10" s="161" t="n">
        <x:v>2027</x:v>
      </x:c>
      <x:c r="B10" s="161" t="str">
        <x:v>Diversification-led</x:v>
      </x:c>
      <x:c r="C10" s="161" t="str">
        <x:v>Severe</x:v>
      </x:c>
      <x:c r="D10" s="136" t="n">
        <x:f>Inputs!$B$6</x:f>
        <x:v>100</x:v>
      </x:c>
      <x:c r="E10" s="136" t="n">
        <x:f>Options!$D$7*Ramp!$B$6</x:f>
        <x:v>0</x:v>
      </x:c>
      <x:c r="F10" s="136" t="n">
        <x:f>Options!$C$7</x:f>
        <x:v>0.55</x:v>
      </x:c>
      <x:c r="G10" s="136" t="n">
        <x:f>1-E10-F10</x:f>
        <x:v>0.44999999999999996</x:v>
      </x:c>
      <x:c r="H10" s="136" t="n">
        <x:f>D10*Scenarios!$B$8/12*(G10*Scenarios!$C$8+F10*Scenarios!$D$8+E10*Scenarios!$E$8)</x:f>
        <x:v>43.5</x:v>
      </x:c>
      <x:c r="I10" s="136" t="n">
        <x:f>D10*Options!$E$7/12</x:f>
        <x:v>25</x:v>
      </x:c>
      <x:c r="J10" s="136" t="n">
        <x:f>MIN(H10,I10)</x:f>
        <x:v>25</x:v>
      </x:c>
      <x:c r="K10" s="136" t="n">
        <x:f>MAX(0,H10-J10)*Scenarios!$F$8</x:f>
        <x:v>1.85</x:v>
      </x:c>
      <x:c r="L10" s="136" t="n">
        <x:f>MAX(0,H10-J10-K10)</x:f>
        <x:v>16.65</x:v>
      </x:c>
      <x:c r="M10" s="136" t="n">
        <x:f>IF(D10&gt;0,1-L10/D10,0)</x:f>
        <x:v>0.8335</x:v>
      </x:c>
      <x:c r="N10" s="136" t="n">
        <x:f>D10*Inputs!$B$8*(F10*Inputs!$B$9+E10*Inputs!$B$10)</x:f>
        <x:v>454703.4157565625</x:v>
      </x:c>
      <x:c r="O10" s="136" t="n">
        <x:f>I10*Inputs!$B$8*Inputs!$B$11</x:f>
        <x:v>165346.69663875</x:v>
      </x:c>
      <x:c r="P10" s="136" t="n">
        <x:f>K10*Inputs!$B$8*Scenarios!$G$8</x:f>
        <x:v>152945.69439084377</x:v>
      </x:c>
      <x:c r="Q10" s="136" t="n">
        <x:f>SUM(N10:P10)</x:f>
        <x:v>772995.8067861563</x:v>
      </x:c>
      <x:c r="R10" s="136" t="n">
        <x:f>I10*Inputs!$B$8</x:f>
        <x:v>1377889.13865625</x:v>
      </x:c>
      <x:c r="S10" s="136" t="str">
        <x:f>IF(R10&lt;=Inputs!$B$13,"PASS","EXCEEDS")</x:f>
        <x:v>PASS</x:v>
      </x:c>
      <x:c r="T10" s="136" t="str">
        <x:f>IF(L10&lt;=Inputs!$B$14,"PASS","EXCEEDS")</x:f>
        <x:v>EXCEEDS</x:v>
      </x:c>
      <x:c r="U10" s="136" t="str">
        <x:v>Sb-equivalent; illustrative</x:v>
      </x:c>
    </x:row>
    <x:row r="11" ht="20" customHeight="1">
      <x:c r="A11" s="136" t="n">
        <x:v>2027</x:v>
      </x:c>
      <x:c r="B11" s="136" t="str">
        <x:v>Inventory-led</x:v>
      </x:c>
      <x:c r="C11" s="136" t="str">
        <x:v>Base</x:v>
      </x:c>
      <x:c r="D11" s="136" t="n">
        <x:f>Inputs!$B$6</x:f>
        <x:v>100</x:v>
      </x:c>
      <x:c r="E11" s="136" t="n">
        <x:f>Options!$D$8*Ramp!$B$6</x:f>
        <x:v>0</x:v>
      </x:c>
      <x:c r="F11" s="136" t="n">
        <x:f>Options!$C$8</x:f>
        <x:v>0.25</x:v>
      </x:c>
      <x:c r="G11" s="136" t="n">
        <x:f>1-E11-F11</x:f>
        <x:v>0.75</x:v>
      </x:c>
      <x:c r="H11" s="136" t="n">
        <x:f>D11*Scenarios!$B$6/12*(G11*Scenarios!$C$6+F11*Scenarios!$D$6+E11*Scenarios!$E$6)</x:f>
        <x:v>0</x:v>
      </x:c>
      <x:c r="I11" s="136" t="n">
        <x:f>D11*Options!$E$8/12</x:f>
        <x:v>75</x:v>
      </x:c>
      <x:c r="J11" s="136" t="n">
        <x:f>MIN(H11,I11)</x:f>
        <x:v>0</x:v>
      </x:c>
      <x:c r="K11" s="136" t="n">
        <x:f>MAX(0,H11-J11)*Scenarios!$F$6</x:f>
        <x:v>0</x:v>
      </x:c>
      <x:c r="L11" s="136" t="n">
        <x:f>MAX(0,H11-J11-K11)</x:f>
        <x:v>0</x:v>
      </x:c>
      <x:c r="M11" s="136" t="n">
        <x:f>IF(D11&gt;0,1-L11/D11,0)</x:f>
        <x:v>1</x:v>
      </x:c>
      <x:c r="N11" s="136" t="n">
        <x:f>D11*Inputs!$B$8*(F11*Inputs!$B$9+E11*Inputs!$B$10)</x:f>
        <x:v>206683.37079843748</x:v>
      </x:c>
      <x:c r="O11" s="136" t="n">
        <x:f>I11*Inputs!$B$8*Inputs!$B$11</x:f>
        <x:v>496040.08991624997</x:v>
      </x:c>
      <x:c r="P11" s="136" t="n">
        <x:f>K11*Inputs!$B$8*Scenarios!$G$6</x:f>
        <x:v>0</x:v>
      </x:c>
      <x:c r="Q11" s="136" t="n">
        <x:f>SUM(N11:P11)</x:f>
        <x:v>702723.4607146875</x:v>
      </x:c>
      <x:c r="R11" s="136" t="n">
        <x:f>I11*Inputs!$B$8</x:f>
        <x:v>4133667.41596875</x:v>
      </x:c>
      <x:c r="S11" s="136" t="str">
        <x:f>IF(R11&lt;=Inputs!$B$13,"PASS","EXCEEDS")</x:f>
        <x:v>EXCEEDS</x:v>
      </x:c>
      <x:c r="T11" s="136" t="str">
        <x:f>IF(L11&lt;=Inputs!$B$14,"PASS","EXCEEDS")</x:f>
        <x:v>PASS</x:v>
      </x:c>
      <x:c r="U11" s="136" t="str">
        <x:v>Sb-equivalent; illustrative</x:v>
      </x:c>
    </x:row>
    <x:row r="12" ht="20" customHeight="1">
      <x:c r="A12" s="136" t="n">
        <x:v>2027</x:v>
      </x:c>
      <x:c r="B12" s="136" t="str">
        <x:v>Inventory-led</x:v>
      </x:c>
      <x:c r="C12" s="136" t="str">
        <x:v>Stress</x:v>
      </x:c>
      <x:c r="D12" s="136" t="n">
        <x:f>Inputs!$B$6</x:f>
        <x:v>100</x:v>
      </x:c>
      <x:c r="E12" s="136" t="n">
        <x:f>Options!$D$8*Ramp!$B$6</x:f>
        <x:v>0</x:v>
      </x:c>
      <x:c r="F12" s="136" t="n">
        <x:f>Options!$C$8</x:f>
        <x:v>0.25</x:v>
      </x:c>
      <x:c r="G12" s="136" t="n">
        <x:f>1-E12-F12</x:f>
        <x:v>0.75</x:v>
      </x:c>
      <x:c r="H12" s="136" t="n">
        <x:f>D12*Scenarios!$B$7/12*(G12*Scenarios!$C$7+F12*Scenarios!$D$7+E12*Scenarios!$E$7)</x:f>
        <x:v>16.666666666666664</x:v>
      </x:c>
      <x:c r="I12" s="136" t="n">
        <x:f>D12*Options!$E$8/12</x:f>
        <x:v>75</x:v>
      </x:c>
      <x:c r="J12" s="136" t="n">
        <x:f>MIN(H12,I12)</x:f>
        <x:v>16.666666666666664</x:v>
      </x:c>
      <x:c r="K12" s="136" t="n">
        <x:f>MAX(0,H12-J12)*Scenarios!$F$7</x:f>
        <x:v>0</x:v>
      </x:c>
      <x:c r="L12" s="136" t="n">
        <x:f>MAX(0,H12-J12-K12)</x:f>
        <x:v>0</x:v>
      </x:c>
      <x:c r="M12" s="136" t="n">
        <x:f>IF(D12&gt;0,1-L12/D12,0)</x:f>
        <x:v>1</x:v>
      </x:c>
      <x:c r="N12" s="136" t="n">
        <x:f>D12*Inputs!$B$8*(F12*Inputs!$B$9+E12*Inputs!$B$10)</x:f>
        <x:v>206683.37079843748</x:v>
      </x:c>
      <x:c r="O12" s="136" t="n">
        <x:f>I12*Inputs!$B$8*Inputs!$B$11</x:f>
        <x:v>496040.08991624997</x:v>
      </x:c>
      <x:c r="P12" s="136" t="n">
        <x:f>K12*Inputs!$B$8*Scenarios!$G$7</x:f>
        <x:v>0</x:v>
      </x:c>
      <x:c r="Q12" s="136" t="n">
        <x:f>SUM(N12:P12)</x:f>
        <x:v>702723.4607146875</x:v>
      </x:c>
      <x:c r="R12" s="136" t="n">
        <x:f>I12*Inputs!$B$8</x:f>
        <x:v>4133667.41596875</x:v>
      </x:c>
      <x:c r="S12" s="136" t="str">
        <x:f>IF(R12&lt;=Inputs!$B$13,"PASS","EXCEEDS")</x:f>
        <x:v>EXCEEDS</x:v>
      </x:c>
      <x:c r="T12" s="136" t="str">
        <x:f>IF(L12&lt;=Inputs!$B$14,"PASS","EXCEEDS")</x:f>
        <x:v>PASS</x:v>
      </x:c>
      <x:c r="U12" s="136" t="str">
        <x:v>Sb-equivalent; illustrative</x:v>
      </x:c>
    </x:row>
    <x:row r="13" ht="20" customHeight="1">
      <x:c r="A13" s="161" t="n">
        <x:v>2027</x:v>
      </x:c>
      <x:c r="B13" s="161" t="str">
        <x:v>Inventory-led</x:v>
      </x:c>
      <x:c r="C13" s="161" t="str">
        <x:v>Severe</x:v>
      </x:c>
      <x:c r="D13" s="136" t="n">
        <x:f>Inputs!$B$6</x:f>
        <x:v>100</x:v>
      </x:c>
      <x:c r="E13" s="136" t="n">
        <x:f>Options!$D$8*Ramp!$B$6</x:f>
        <x:v>0</x:v>
      </x:c>
      <x:c r="F13" s="136" t="n">
        <x:f>Options!$C$8</x:f>
        <x:v>0.25</x:v>
      </x:c>
      <x:c r="G13" s="136" t="n">
        <x:f>1-E13-F13</x:f>
        <x:v>0.75</x:v>
      </x:c>
      <x:c r="H13" s="136" t="n">
        <x:f>D13*Scenarios!$B$8/12*(G13*Scenarios!$C$8+F13*Scenarios!$D$8+E13*Scenarios!$E$8)</x:f>
        <x:v>52.50000000000001</x:v>
      </x:c>
      <x:c r="I13" s="136" t="n">
        <x:f>D13*Options!$E$8/12</x:f>
        <x:v>75</x:v>
      </x:c>
      <x:c r="J13" s="136" t="n">
        <x:f>MIN(H13,I13)</x:f>
        <x:v>52.50000000000001</x:v>
      </x:c>
      <x:c r="K13" s="136" t="n">
        <x:f>MAX(0,H13-J13)*Scenarios!$F$8</x:f>
        <x:v>0</x:v>
      </x:c>
      <x:c r="L13" s="136" t="n">
        <x:f>MAX(0,H13-J13-K13)</x:f>
        <x:v>0</x:v>
      </x:c>
      <x:c r="M13" s="136" t="n">
        <x:f>IF(D13&gt;0,1-L13/D13,0)</x:f>
        <x:v>1</x:v>
      </x:c>
      <x:c r="N13" s="136" t="n">
        <x:f>D13*Inputs!$B$8*(F13*Inputs!$B$9+E13*Inputs!$B$10)</x:f>
        <x:v>206683.37079843748</x:v>
      </x:c>
      <x:c r="O13" s="136" t="n">
        <x:f>I13*Inputs!$B$8*Inputs!$B$11</x:f>
        <x:v>496040.08991624997</x:v>
      </x:c>
      <x:c r="P13" s="136" t="n">
        <x:f>K13*Inputs!$B$8*Scenarios!$G$8</x:f>
        <x:v>0</x:v>
      </x:c>
      <x:c r="Q13" s="136" t="n">
        <x:f>SUM(N13:P13)</x:f>
        <x:v>702723.4607146875</x:v>
      </x:c>
      <x:c r="R13" s="136" t="n">
        <x:f>I13*Inputs!$B$8</x:f>
        <x:v>4133667.41596875</x:v>
      </x:c>
      <x:c r="S13" s="136" t="str">
        <x:f>IF(R13&lt;=Inputs!$B$13,"PASS","EXCEEDS")</x:f>
        <x:v>EXCEEDS</x:v>
      </x:c>
      <x:c r="T13" s="136" t="str">
        <x:f>IF(L13&lt;=Inputs!$B$14,"PASS","EXCEEDS")</x:f>
        <x:v>PASS</x:v>
      </x:c>
      <x:c r="U13" s="136" t="str">
        <x:v>Sb-equivalent; illustrative</x:v>
      </x:c>
    </x:row>
    <x:row r="14" ht="20" customHeight="1">
      <x:c r="A14" s="136" t="n">
        <x:v>2027</x:v>
      </x:c>
      <x:c r="B14" s="136" t="str">
        <x:v>Balanced</x:v>
      </x:c>
      <x:c r="C14" s="136" t="str">
        <x:v>Base</x:v>
      </x:c>
      <x:c r="D14" s="136" t="n">
        <x:f>Inputs!$B$6</x:f>
        <x:v>100</x:v>
      </x:c>
      <x:c r="E14" s="136" t="n">
        <x:f>Options!$D$9*Ramp!$B$6</x:f>
        <x:v>0</x:v>
      </x:c>
      <x:c r="F14" s="136" t="n">
        <x:f>Options!$C$9</x:f>
        <x:v>0.45</x:v>
      </x:c>
      <x:c r="G14" s="136" t="n">
        <x:f>1-E14-F14</x:f>
        <x:v>0.55</x:v>
      </x:c>
      <x:c r="H14" s="136" t="n">
        <x:f>D14*Scenarios!$B$6/12*(G14*Scenarios!$C$6+F14*Scenarios!$D$6+E14*Scenarios!$E$6)</x:f>
        <x:v>0</x:v>
      </x:c>
      <x:c r="I14" s="136" t="n">
        <x:f>D14*Options!$E$9/12</x:f>
        <x:v>41.666666666666664</x:v>
      </x:c>
      <x:c r="J14" s="136" t="n">
        <x:f>MIN(H14,I14)</x:f>
        <x:v>0</x:v>
      </x:c>
      <x:c r="K14" s="136" t="n">
        <x:f>MAX(0,H14-J14)*Scenarios!$F$6</x:f>
        <x:v>0</x:v>
      </x:c>
      <x:c r="L14" s="136" t="n">
        <x:f>MAX(0,H14-J14-K14)</x:f>
        <x:v>0</x:v>
      </x:c>
      <x:c r="M14" s="136" t="n">
        <x:f>IF(D14&gt;0,1-L14/D14,0)</x:f>
        <x:v>1</x:v>
      </x:c>
      <x:c r="N14" s="136" t="n">
        <x:f>D14*Inputs!$B$8*(F14*Inputs!$B$9+E14*Inputs!$B$10)</x:f>
        <x:v>372030.06743718754</x:v>
      </x:c>
      <x:c r="O14" s="136" t="n">
        <x:f>I14*Inputs!$B$8*Inputs!$B$11</x:f>
        <x:v>275577.82773124997</x:v>
      </x:c>
      <x:c r="P14" s="136" t="n">
        <x:f>K14*Inputs!$B$8*Scenarios!$G$6</x:f>
        <x:v>0</x:v>
      </x:c>
      <x:c r="Q14" s="136" t="n">
        <x:f>SUM(N14:P14)</x:f>
        <x:v>647607.8951684375</x:v>
      </x:c>
      <x:c r="R14" s="136" t="n">
        <x:f>I14*Inputs!$B$8</x:f>
        <x:v>2296481.8977604164</x:v>
      </x:c>
      <x:c r="S14" s="136" t="str">
        <x:f>IF(R14&lt;=Inputs!$B$13,"PASS","EXCEEDS")</x:f>
        <x:v>PASS</x:v>
      </x:c>
      <x:c r="T14" s="136" t="str">
        <x:f>IF(L14&lt;=Inputs!$B$14,"PASS","EXCEEDS")</x:f>
        <x:v>PASS</x:v>
      </x:c>
      <x:c r="U14" s="136" t="str">
        <x:v>Sb-equivalent; illustrative</x:v>
      </x:c>
    </x:row>
    <x:row r="15" ht="20" customHeight="1">
      <x:c r="A15" s="136" t="n">
        <x:v>2027</x:v>
      </x:c>
      <x:c r="B15" s="136" t="str">
        <x:v>Balanced</x:v>
      </x:c>
      <x:c r="C15" s="136" t="str">
        <x:v>Stress</x:v>
      </x:c>
      <x:c r="D15" s="136" t="n">
        <x:f>Inputs!$B$6</x:f>
        <x:v>100</x:v>
      </x:c>
      <x:c r="E15" s="136" t="n">
        <x:f>Options!$D$9*Ramp!$B$6</x:f>
        <x:v>0</x:v>
      </x:c>
      <x:c r="F15" s="136" t="n">
        <x:f>Options!$C$9</x:f>
        <x:v>0.45</x:v>
      </x:c>
      <x:c r="G15" s="136" t="n">
        <x:f>1-E15-F15</x:f>
        <x:v>0.55</x:v>
      </x:c>
      <x:c r="H15" s="136" t="n">
        <x:f>D15*Scenarios!$B$7/12*(G15*Scenarios!$C$7+F15*Scenarios!$D$7+E15*Scenarios!$E$7)</x:f>
        <x:v>14.000000000000002</x:v>
      </x:c>
      <x:c r="I15" s="136" t="n">
        <x:f>D15*Options!$E$9/12</x:f>
        <x:v>41.666666666666664</x:v>
      </x:c>
      <x:c r="J15" s="136" t="n">
        <x:f>MIN(H15,I15)</x:f>
        <x:v>14.000000000000002</x:v>
      </x:c>
      <x:c r="K15" s="136" t="n">
        <x:f>MAX(0,H15-J15)*Scenarios!$F$7</x:f>
        <x:v>0</x:v>
      </x:c>
      <x:c r="L15" s="136" t="n">
        <x:f>MAX(0,H15-J15-K15)</x:f>
        <x:v>0</x:v>
      </x:c>
      <x:c r="M15" s="136" t="n">
        <x:f>IF(D15&gt;0,1-L15/D15,0)</x:f>
        <x:v>1</x:v>
      </x:c>
      <x:c r="N15" s="136" t="n">
        <x:f>D15*Inputs!$B$8*(F15*Inputs!$B$9+E15*Inputs!$B$10)</x:f>
        <x:v>372030.06743718754</x:v>
      </x:c>
      <x:c r="O15" s="136" t="n">
        <x:f>I15*Inputs!$B$8*Inputs!$B$11</x:f>
        <x:v>275577.82773124997</x:v>
      </x:c>
      <x:c r="P15" s="136" t="n">
        <x:f>K15*Inputs!$B$8*Scenarios!$G$7</x:f>
        <x:v>0</x:v>
      </x:c>
      <x:c r="Q15" s="136" t="n">
        <x:f>SUM(N15:P15)</x:f>
        <x:v>647607.8951684375</x:v>
      </x:c>
      <x:c r="R15" s="136" t="n">
        <x:f>I15*Inputs!$B$8</x:f>
        <x:v>2296481.8977604164</x:v>
      </x:c>
      <x:c r="S15" s="136" t="str">
        <x:f>IF(R15&lt;=Inputs!$B$13,"PASS","EXCEEDS")</x:f>
        <x:v>PASS</x:v>
      </x:c>
      <x:c r="T15" s="136" t="str">
        <x:f>IF(L15&lt;=Inputs!$B$14,"PASS","EXCEEDS")</x:f>
        <x:v>PASS</x:v>
      </x:c>
      <x:c r="U15" s="136" t="str">
        <x:v>Sb-equivalent; illustrative</x:v>
      </x:c>
    </x:row>
    <x:row r="16" ht="20" customHeight="1">
      <x:c r="A16" s="161" t="n">
        <x:v>2027</x:v>
      </x:c>
      <x:c r="B16" s="161" t="str">
        <x:v>Balanced</x:v>
      </x:c>
      <x:c r="C16" s="161" t="str">
        <x:v>Severe</x:v>
      </x:c>
      <x:c r="D16" s="136" t="n">
        <x:f>Inputs!$B$6</x:f>
        <x:v>100</x:v>
      </x:c>
      <x:c r="E16" s="136" t="n">
        <x:f>Options!$D$9*Ramp!$B$6</x:f>
        <x:v>0</x:v>
      </x:c>
      <x:c r="F16" s="136" t="n">
        <x:f>Options!$C$9</x:f>
        <x:v>0.45</x:v>
      </x:c>
      <x:c r="G16" s="136" t="n">
        <x:f>1-E16-F16</x:f>
        <x:v>0.55</x:v>
      </x:c>
      <x:c r="H16" s="136" t="n">
        <x:f>D16*Scenarios!$B$8/12*(G16*Scenarios!$C$8+F16*Scenarios!$D$8+E16*Scenarios!$E$8)</x:f>
        <x:v>46.50000000000001</x:v>
      </x:c>
      <x:c r="I16" s="136" t="n">
        <x:f>D16*Options!$E$9/12</x:f>
        <x:v>41.666666666666664</x:v>
      </x:c>
      <x:c r="J16" s="136" t="n">
        <x:f>MIN(H16,I16)</x:f>
        <x:v>41.666666666666664</x:v>
      </x:c>
      <x:c r="K16" s="136" t="n">
        <x:f>MAX(0,H16-J16)*Scenarios!$F$8</x:f>
        <x:v>0.4833333333333343</x:v>
      </x:c>
      <x:c r="L16" s="136" t="n">
        <x:f>MAX(0,H16-J16-K16)</x:f>
        <x:v>4.3500000000000085</x:v>
      </x:c>
      <x:c r="M16" s="136" t="n">
        <x:f>IF(D16&gt;0,1-L16/D16,0)</x:f>
        <x:v>0.9564999999999999</x:v>
      </x:c>
      <x:c r="N16" s="136" t="n">
        <x:f>D16*Inputs!$B$8*(F16*Inputs!$B$9+E16*Inputs!$B$10)</x:f>
        <x:v>372030.06743718754</x:v>
      </x:c>
      <x:c r="O16" s="136" t="n">
        <x:f>I16*Inputs!$B$8*Inputs!$B$11</x:f>
        <x:v>275577.82773124997</x:v>
      </x:c>
      <x:c r="P16" s="136" t="n">
        <x:f>K16*Inputs!$B$8*Scenarios!$G$8</x:f>
        <x:v>39958.785021031326</x:v>
      </x:c>
      <x:c r="Q16" s="136" t="n">
        <x:f>SUM(N16:P16)</x:f>
        <x:v>687566.6801894688</x:v>
      </x:c>
      <x:c r="R16" s="136" t="n">
        <x:f>I16*Inputs!$B$8</x:f>
        <x:v>2296481.8977604164</x:v>
      </x:c>
      <x:c r="S16" s="136" t="str">
        <x:f>IF(R16&lt;=Inputs!$B$13,"PASS","EXCEEDS")</x:f>
        <x:v>PASS</x:v>
      </x:c>
      <x:c r="T16" s="136" t="str">
        <x:f>IF(L16&lt;=Inputs!$B$14,"PASS","EXCEEDS")</x:f>
        <x:v>PASS</x:v>
      </x:c>
      <x:c r="U16" s="136" t="str">
        <x:v>Sb-equivalent; illustrative</x:v>
      </x:c>
    </x:row>
    <x:row r="17" ht="20" customHeight="1">
      <x:c r="A17" s="136" t="n">
        <x:v>2028</x:v>
      </x:c>
      <x:c r="B17" s="136" t="str">
        <x:v>Domestic-led</x:v>
      </x:c>
      <x:c r="C17" s="136" t="str">
        <x:v>Base</x:v>
      </x:c>
      <x:c r="D17" s="136" t="n">
        <x:f>Inputs!$B$6</x:f>
        <x:v>100</x:v>
      </x:c>
      <x:c r="E17" s="136" t="n">
        <x:f>Options!$D$6*Ramp!$B$7</x:f>
        <x:v>0</x:v>
      </x:c>
      <x:c r="F17" s="136" t="n">
        <x:f>Options!$C$6</x:f>
        <x:v>0.25</x:v>
      </x:c>
      <x:c r="G17" s="136" t="n">
        <x:f>1-E17-F17</x:f>
        <x:v>0.75</x:v>
      </x:c>
      <x:c r="H17" s="136" t="n">
        <x:f>D17*Scenarios!$B$6/12*(G17*Scenarios!$C$6+F17*Scenarios!$D$6+E17*Scenarios!$E$6)</x:f>
        <x:v>0</x:v>
      </x:c>
      <x:c r="I17" s="136" t="n">
        <x:f>D17*Options!$E$6/12</x:f>
        <x:v>16.666666666666668</x:v>
      </x:c>
      <x:c r="J17" s="136" t="n">
        <x:f>MIN(H17,I17)</x:f>
        <x:v>0</x:v>
      </x:c>
      <x:c r="K17" s="136" t="n">
        <x:f>MAX(0,H17-J17)*Scenarios!$F$6</x:f>
        <x:v>0</x:v>
      </x:c>
      <x:c r="L17" s="136" t="n">
        <x:f>MAX(0,H17-J17-K17)</x:f>
        <x:v>0</x:v>
      </x:c>
      <x:c r="M17" s="136" t="n">
        <x:f>IF(D17&gt;0,1-L17/D17,0)</x:f>
        <x:v>1</x:v>
      </x:c>
      <x:c r="N17" s="136" t="n">
        <x:f>D17*Inputs!$B$8*(F17*Inputs!$B$9+E17*Inputs!$B$10)</x:f>
        <x:v>206683.37079843748</x:v>
      </x:c>
      <x:c r="O17" s="136" t="n">
        <x:f>I17*Inputs!$B$8*Inputs!$B$11</x:f>
        <x:v>110231.13109250001</x:v>
      </x:c>
      <x:c r="P17" s="136" t="n">
        <x:f>K17*Inputs!$B$8*Scenarios!$G$6</x:f>
        <x:v>0</x:v>
      </x:c>
      <x:c r="Q17" s="136" t="n">
        <x:f>SUM(N17:P17)</x:f>
        <x:v>316914.5018909375</x:v>
      </x:c>
      <x:c r="R17" s="136" t="n">
        <x:f>I17*Inputs!$B$8</x:f>
        <x:v>918592.7591041668</x:v>
      </x:c>
      <x:c r="S17" s="136" t="str">
        <x:f>IF(R17&lt;=Inputs!$B$13,"PASS","EXCEEDS")</x:f>
        <x:v>PASS</x:v>
      </x:c>
      <x:c r="T17" s="136" t="str">
        <x:f>IF(L17&lt;=Inputs!$B$14,"PASS","EXCEEDS")</x:f>
        <x:v>PASS</x:v>
      </x:c>
      <x:c r="U17" s="136" t="str">
        <x:v>Sb-equivalent; illustrative</x:v>
      </x:c>
    </x:row>
    <x:row r="18" ht="20" customHeight="1">
      <x:c r="A18" s="136" t="n">
        <x:v>2028</x:v>
      </x:c>
      <x:c r="B18" s="136" t="str">
        <x:v>Domestic-led</x:v>
      </x:c>
      <x:c r="C18" s="136" t="str">
        <x:v>Stress</x:v>
      </x:c>
      <x:c r="D18" s="136" t="n">
        <x:f>Inputs!$B$6</x:f>
        <x:v>100</x:v>
      </x:c>
      <x:c r="E18" s="136" t="n">
        <x:f>Options!$D$6*Ramp!$B$7</x:f>
        <x:v>0</x:v>
      </x:c>
      <x:c r="F18" s="136" t="n">
        <x:f>Options!$C$6</x:f>
        <x:v>0.25</x:v>
      </x:c>
      <x:c r="G18" s="136" t="n">
        <x:f>1-E18-F18</x:f>
        <x:v>0.75</x:v>
      </x:c>
      <x:c r="H18" s="136" t="n">
        <x:f>D18*Scenarios!$B$7/12*(G18*Scenarios!$C$7+F18*Scenarios!$D$7+E18*Scenarios!$E$7)</x:f>
        <x:v>16.666666666666664</x:v>
      </x:c>
      <x:c r="I18" s="136" t="n">
        <x:f>D18*Options!$E$6/12</x:f>
        <x:v>16.666666666666668</x:v>
      </x:c>
      <x:c r="J18" s="136" t="n">
        <x:f>MIN(H18,I18)</x:f>
        <x:v>16.666666666666664</x:v>
      </x:c>
      <x:c r="K18" s="136" t="n">
        <x:f>MAX(0,H18-J18)*Scenarios!$F$7</x:f>
        <x:v>0</x:v>
      </x:c>
      <x:c r="L18" s="136" t="n">
        <x:f>MAX(0,H18-J18-K18)</x:f>
        <x:v>0</x:v>
      </x:c>
      <x:c r="M18" s="136" t="n">
        <x:f>IF(D18&gt;0,1-L18/D18,0)</x:f>
        <x:v>1</x:v>
      </x:c>
      <x:c r="N18" s="136" t="n">
        <x:f>D18*Inputs!$B$8*(F18*Inputs!$B$9+E18*Inputs!$B$10)</x:f>
        <x:v>206683.37079843748</x:v>
      </x:c>
      <x:c r="O18" s="136" t="n">
        <x:f>I18*Inputs!$B$8*Inputs!$B$11</x:f>
        <x:v>110231.13109250001</x:v>
      </x:c>
      <x:c r="P18" s="136" t="n">
        <x:f>K18*Inputs!$B$8*Scenarios!$G$7</x:f>
        <x:v>0</x:v>
      </x:c>
      <x:c r="Q18" s="136" t="n">
        <x:f>SUM(N18:P18)</x:f>
        <x:v>316914.5018909375</x:v>
      </x:c>
      <x:c r="R18" s="136" t="n">
        <x:f>I18*Inputs!$B$8</x:f>
        <x:v>918592.7591041668</x:v>
      </x:c>
      <x:c r="S18" s="136" t="str">
        <x:f>IF(R18&lt;=Inputs!$B$13,"PASS","EXCEEDS")</x:f>
        <x:v>PASS</x:v>
      </x:c>
      <x:c r="T18" s="136" t="str">
        <x:f>IF(L18&lt;=Inputs!$B$14,"PASS","EXCEEDS")</x:f>
        <x:v>PASS</x:v>
      </x:c>
      <x:c r="U18" s="136" t="str">
        <x:v>Sb-equivalent; illustrative</x:v>
      </x:c>
    </x:row>
    <x:row r="19" ht="20" customHeight="1">
      <x:c r="A19" s="161" t="n">
        <x:v>2028</x:v>
      </x:c>
      <x:c r="B19" s="161" t="str">
        <x:v>Domestic-led</x:v>
      </x:c>
      <x:c r="C19" s="161" t="str">
        <x:v>Severe</x:v>
      </x:c>
      <x:c r="D19" s="136" t="n">
        <x:f>Inputs!$B$6</x:f>
        <x:v>100</x:v>
      </x:c>
      <x:c r="E19" s="136" t="n">
        <x:f>Options!$D$6*Ramp!$B$7</x:f>
        <x:v>0</x:v>
      </x:c>
      <x:c r="F19" s="136" t="n">
        <x:f>Options!$C$6</x:f>
        <x:v>0.25</x:v>
      </x:c>
      <x:c r="G19" s="136" t="n">
        <x:f>1-E19-F19</x:f>
        <x:v>0.75</x:v>
      </x:c>
      <x:c r="H19" s="136" t="n">
        <x:f>D19*Scenarios!$B$8/12*(G19*Scenarios!$C$8+F19*Scenarios!$D$8+E19*Scenarios!$E$8)</x:f>
        <x:v>52.50000000000001</x:v>
      </x:c>
      <x:c r="I19" s="136" t="n">
        <x:f>D19*Options!$E$6/12</x:f>
        <x:v>16.666666666666668</x:v>
      </x:c>
      <x:c r="J19" s="136" t="n">
        <x:f>MIN(H19,I19)</x:f>
        <x:v>16.666666666666668</x:v>
      </x:c>
      <x:c r="K19" s="136" t="n">
        <x:f>MAX(0,H19-J19)*Scenarios!$F$8</x:f>
        <x:v>3.5833333333333344</x:v>
      </x:c>
      <x:c r="L19" s="136" t="n">
        <x:f>MAX(0,H19-J19-K19)</x:f>
        <x:v>32.25000000000001</x:v>
      </x:c>
      <x:c r="M19" s="136" t="n">
        <x:f>IF(D19&gt;0,1-L19/D19,0)</x:f>
        <x:v>0.6775</x:v>
      </x:c>
      <x:c r="N19" s="136" t="n">
        <x:f>D19*Inputs!$B$8*(F19*Inputs!$B$9+E19*Inputs!$B$10)</x:f>
        <x:v>206683.37079843748</x:v>
      </x:c>
      <x:c r="O19" s="136" t="n">
        <x:f>I19*Inputs!$B$8*Inputs!$B$11</x:f>
        <x:v>110231.13109250001</x:v>
      </x:c>
      <x:c r="P19" s="136" t="n">
        <x:f>K19*Inputs!$B$8*Scenarios!$G$8</x:f>
        <x:v>296246.1648110938</x:v>
      </x:c>
      <x:c r="Q19" s="136" t="n">
        <x:f>SUM(N19:P19)</x:f>
        <x:v>613160.6667020314</x:v>
      </x:c>
      <x:c r="R19" s="136" t="n">
        <x:f>I19*Inputs!$B$8</x:f>
        <x:v>918592.7591041668</x:v>
      </x:c>
      <x:c r="S19" s="136" t="str">
        <x:f>IF(R19&lt;=Inputs!$B$13,"PASS","EXCEEDS")</x:f>
        <x:v>PASS</x:v>
      </x:c>
      <x:c r="T19" s="136" t="str">
        <x:f>IF(L19&lt;=Inputs!$B$14,"PASS","EXCEEDS")</x:f>
        <x:v>EXCEEDS</x:v>
      </x:c>
      <x:c r="U19" s="136" t="str">
        <x:v>Sb-equivalent; illustrative</x:v>
      </x:c>
    </x:row>
    <x:row r="20" ht="20" customHeight="1">
      <x:c r="A20" s="136" t="n">
        <x:v>2028</x:v>
      </x:c>
      <x:c r="B20" s="136" t="str">
        <x:v>Diversification-led</x:v>
      </x:c>
      <x:c r="C20" s="136" t="str">
        <x:v>Base</x:v>
      </x:c>
      <x:c r="D20" s="136" t="n">
        <x:f>Inputs!$B$6</x:f>
        <x:v>100</x:v>
      </x:c>
      <x:c r="E20" s="136" t="n">
        <x:f>Options!$D$7*Ramp!$B$7</x:f>
        <x:v>0</x:v>
      </x:c>
      <x:c r="F20" s="136" t="n">
        <x:f>Options!$C$7</x:f>
        <x:v>0.55</x:v>
      </x:c>
      <x:c r="G20" s="136" t="n">
        <x:f>1-E20-F20</x:f>
        <x:v>0.44999999999999996</x:v>
      </x:c>
      <x:c r="H20" s="136" t="n">
        <x:f>D20*Scenarios!$B$6/12*(G20*Scenarios!$C$6+F20*Scenarios!$D$6+E20*Scenarios!$E$6)</x:f>
        <x:v>0</x:v>
      </x:c>
      <x:c r="I20" s="136" t="n">
        <x:f>D20*Options!$E$7/12</x:f>
        <x:v>25</x:v>
      </x:c>
      <x:c r="J20" s="136" t="n">
        <x:f>MIN(H20,I20)</x:f>
        <x:v>0</x:v>
      </x:c>
      <x:c r="K20" s="136" t="n">
        <x:f>MAX(0,H20-J20)*Scenarios!$F$6</x:f>
        <x:v>0</x:v>
      </x:c>
      <x:c r="L20" s="136" t="n">
        <x:f>MAX(0,H20-J20-K20)</x:f>
        <x:v>0</x:v>
      </x:c>
      <x:c r="M20" s="136" t="n">
        <x:f>IF(D20&gt;0,1-L20/D20,0)</x:f>
        <x:v>1</x:v>
      </x:c>
      <x:c r="N20" s="136" t="n">
        <x:f>D20*Inputs!$B$8*(F20*Inputs!$B$9+E20*Inputs!$B$10)</x:f>
        <x:v>454703.4157565625</x:v>
      </x:c>
      <x:c r="O20" s="136" t="n">
        <x:f>I20*Inputs!$B$8*Inputs!$B$11</x:f>
        <x:v>165346.69663875</x:v>
      </x:c>
      <x:c r="P20" s="136" t="n">
        <x:f>K20*Inputs!$B$8*Scenarios!$G$6</x:f>
        <x:v>0</x:v>
      </x:c>
      <x:c r="Q20" s="136" t="n">
        <x:f>SUM(N20:P20)</x:f>
        <x:v>620050.1123953125</x:v>
      </x:c>
      <x:c r="R20" s="136" t="n">
        <x:f>I20*Inputs!$B$8</x:f>
        <x:v>1377889.13865625</x:v>
      </x:c>
      <x:c r="S20" s="136" t="str">
        <x:f>IF(R20&lt;=Inputs!$B$13,"PASS","EXCEEDS")</x:f>
        <x:v>PASS</x:v>
      </x:c>
      <x:c r="T20" s="136" t="str">
        <x:f>IF(L20&lt;=Inputs!$B$14,"PASS","EXCEEDS")</x:f>
        <x:v>PASS</x:v>
      </x:c>
      <x:c r="U20" s="136" t="str">
        <x:v>Sb-equivalent; illustrative</x:v>
      </x:c>
    </x:row>
    <x:row r="21" ht="20" customHeight="1">
      <x:c r="A21" s="136" t="n">
        <x:v>2028</x:v>
      </x:c>
      <x:c r="B21" s="136" t="str">
        <x:v>Diversification-led</x:v>
      </x:c>
      <x:c r="C21" s="136" t="str">
        <x:v>Stress</x:v>
      </x:c>
      <x:c r="D21" s="136" t="n">
        <x:f>Inputs!$B$6</x:f>
        <x:v>100</x:v>
      </x:c>
      <x:c r="E21" s="136" t="n">
        <x:f>Options!$D$7*Ramp!$B$7</x:f>
        <x:v>0</x:v>
      </x:c>
      <x:c r="F21" s="136" t="n">
        <x:f>Options!$C$7</x:f>
        <x:v>0.55</x:v>
      </x:c>
      <x:c r="G21" s="136" t="n">
        <x:f>1-E21-F21</x:f>
        <x:v>0.44999999999999996</x:v>
      </x:c>
      <x:c r="H21" s="136" t="n">
        <x:f>D21*Scenarios!$B$7/12*(G21*Scenarios!$C$7+F21*Scenarios!$D$7+E21*Scenarios!$E$7)</x:f>
        <x:v>12.666666666666668</x:v>
      </x:c>
      <x:c r="I21" s="136" t="n">
        <x:f>D21*Options!$E$7/12</x:f>
        <x:v>25</x:v>
      </x:c>
      <x:c r="J21" s="136" t="n">
        <x:f>MIN(H21,I21)</x:f>
        <x:v>12.666666666666668</x:v>
      </x:c>
      <x:c r="K21" s="136" t="n">
        <x:f>MAX(0,H21-J21)*Scenarios!$F$7</x:f>
        <x:v>0</x:v>
      </x:c>
      <x:c r="L21" s="136" t="n">
        <x:f>MAX(0,H21-J21-K21)</x:f>
        <x:v>0</x:v>
      </x:c>
      <x:c r="M21" s="136" t="n">
        <x:f>IF(D21&gt;0,1-L21/D21,0)</x:f>
        <x:v>1</x:v>
      </x:c>
      <x:c r="N21" s="136" t="n">
        <x:f>D21*Inputs!$B$8*(F21*Inputs!$B$9+E21*Inputs!$B$10)</x:f>
        <x:v>454703.4157565625</x:v>
      </x:c>
      <x:c r="O21" s="136" t="n">
        <x:f>I21*Inputs!$B$8*Inputs!$B$11</x:f>
        <x:v>165346.69663875</x:v>
      </x:c>
      <x:c r="P21" s="136" t="n">
        <x:f>K21*Inputs!$B$8*Scenarios!$G$7</x:f>
        <x:v>0</x:v>
      </x:c>
      <x:c r="Q21" s="136" t="n">
        <x:f>SUM(N21:P21)</x:f>
        <x:v>620050.1123953125</x:v>
      </x:c>
      <x:c r="R21" s="136" t="n">
        <x:f>I21*Inputs!$B$8</x:f>
        <x:v>1377889.13865625</x:v>
      </x:c>
      <x:c r="S21" s="136" t="str">
        <x:f>IF(R21&lt;=Inputs!$B$13,"PASS","EXCEEDS")</x:f>
        <x:v>PASS</x:v>
      </x:c>
      <x:c r="T21" s="136" t="str">
        <x:f>IF(L21&lt;=Inputs!$B$14,"PASS","EXCEEDS")</x:f>
        <x:v>PASS</x:v>
      </x:c>
      <x:c r="U21" s="136" t="str">
        <x:v>Sb-equivalent; illustrative</x:v>
      </x:c>
    </x:row>
    <x:row r="22" ht="20" customHeight="1">
      <x:c r="A22" s="161" t="n">
        <x:v>2028</x:v>
      </x:c>
      <x:c r="B22" s="161" t="str">
        <x:v>Diversification-led</x:v>
      </x:c>
      <x:c r="C22" s="161" t="str">
        <x:v>Severe</x:v>
      </x:c>
      <x:c r="D22" s="136" t="n">
        <x:f>Inputs!$B$6</x:f>
        <x:v>100</x:v>
      </x:c>
      <x:c r="E22" s="136" t="n">
        <x:f>Options!$D$7*Ramp!$B$7</x:f>
        <x:v>0</x:v>
      </x:c>
      <x:c r="F22" s="136" t="n">
        <x:f>Options!$C$7</x:f>
        <x:v>0.55</x:v>
      </x:c>
      <x:c r="G22" s="136" t="n">
        <x:f>1-E22-F22</x:f>
        <x:v>0.44999999999999996</x:v>
      </x:c>
      <x:c r="H22" s="136" t="n">
        <x:f>D22*Scenarios!$B$8/12*(G22*Scenarios!$C$8+F22*Scenarios!$D$8+E22*Scenarios!$E$8)</x:f>
        <x:v>43.5</x:v>
      </x:c>
      <x:c r="I22" s="136" t="n">
        <x:f>D22*Options!$E$7/12</x:f>
        <x:v>25</x:v>
      </x:c>
      <x:c r="J22" s="136" t="n">
        <x:f>MIN(H22,I22)</x:f>
        <x:v>25</x:v>
      </x:c>
      <x:c r="K22" s="136" t="n">
        <x:f>MAX(0,H22-J22)*Scenarios!$F$8</x:f>
        <x:v>1.85</x:v>
      </x:c>
      <x:c r="L22" s="136" t="n">
        <x:f>MAX(0,H22-J22-K22)</x:f>
        <x:v>16.65</x:v>
      </x:c>
      <x:c r="M22" s="136" t="n">
        <x:f>IF(D22&gt;0,1-L22/D22,0)</x:f>
        <x:v>0.8335</x:v>
      </x:c>
      <x:c r="N22" s="136" t="n">
        <x:f>D22*Inputs!$B$8*(F22*Inputs!$B$9+E22*Inputs!$B$10)</x:f>
        <x:v>454703.4157565625</x:v>
      </x:c>
      <x:c r="O22" s="136" t="n">
        <x:f>I22*Inputs!$B$8*Inputs!$B$11</x:f>
        <x:v>165346.69663875</x:v>
      </x:c>
      <x:c r="P22" s="136" t="n">
        <x:f>K22*Inputs!$B$8*Scenarios!$G$8</x:f>
        <x:v>152945.69439084377</x:v>
      </x:c>
      <x:c r="Q22" s="136" t="n">
        <x:f>SUM(N22:P22)</x:f>
        <x:v>772995.8067861563</x:v>
      </x:c>
      <x:c r="R22" s="136" t="n">
        <x:f>I22*Inputs!$B$8</x:f>
        <x:v>1377889.13865625</x:v>
      </x:c>
      <x:c r="S22" s="136" t="str">
        <x:f>IF(R22&lt;=Inputs!$B$13,"PASS","EXCEEDS")</x:f>
        <x:v>PASS</x:v>
      </x:c>
      <x:c r="T22" s="136" t="str">
        <x:f>IF(L22&lt;=Inputs!$B$14,"PASS","EXCEEDS")</x:f>
        <x:v>EXCEEDS</x:v>
      </x:c>
      <x:c r="U22" s="136" t="str">
        <x:v>Sb-equivalent; illustrative</x:v>
      </x:c>
    </x:row>
    <x:row r="23" ht="20" customHeight="1">
      <x:c r="A23" s="136" t="n">
        <x:v>2028</x:v>
      </x:c>
      <x:c r="B23" s="136" t="str">
        <x:v>Inventory-led</x:v>
      </x:c>
      <x:c r="C23" s="136" t="str">
        <x:v>Base</x:v>
      </x:c>
      <x:c r="D23" s="136" t="n">
        <x:f>Inputs!$B$6</x:f>
        <x:v>100</x:v>
      </x:c>
      <x:c r="E23" s="136" t="n">
        <x:f>Options!$D$8*Ramp!$B$7</x:f>
        <x:v>0</x:v>
      </x:c>
      <x:c r="F23" s="136" t="n">
        <x:f>Options!$C$8</x:f>
        <x:v>0.25</x:v>
      </x:c>
      <x:c r="G23" s="136" t="n">
        <x:f>1-E23-F23</x:f>
        <x:v>0.75</x:v>
      </x:c>
      <x:c r="H23" s="136" t="n">
        <x:f>D23*Scenarios!$B$6/12*(G23*Scenarios!$C$6+F23*Scenarios!$D$6+E23*Scenarios!$E$6)</x:f>
        <x:v>0</x:v>
      </x:c>
      <x:c r="I23" s="136" t="n">
        <x:f>D23*Options!$E$8/12</x:f>
        <x:v>75</x:v>
      </x:c>
      <x:c r="J23" s="136" t="n">
        <x:f>MIN(H23,I23)</x:f>
        <x:v>0</x:v>
      </x:c>
      <x:c r="K23" s="136" t="n">
        <x:f>MAX(0,H23-J23)*Scenarios!$F$6</x:f>
        <x:v>0</x:v>
      </x:c>
      <x:c r="L23" s="136" t="n">
        <x:f>MAX(0,H23-J23-K23)</x:f>
        <x:v>0</x:v>
      </x:c>
      <x:c r="M23" s="136" t="n">
        <x:f>IF(D23&gt;0,1-L23/D23,0)</x:f>
        <x:v>1</x:v>
      </x:c>
      <x:c r="N23" s="136" t="n">
        <x:f>D23*Inputs!$B$8*(F23*Inputs!$B$9+E23*Inputs!$B$10)</x:f>
        <x:v>206683.37079843748</x:v>
      </x:c>
      <x:c r="O23" s="136" t="n">
        <x:f>I23*Inputs!$B$8*Inputs!$B$11</x:f>
        <x:v>496040.08991624997</x:v>
      </x:c>
      <x:c r="P23" s="136" t="n">
        <x:f>K23*Inputs!$B$8*Scenarios!$G$6</x:f>
        <x:v>0</x:v>
      </x:c>
      <x:c r="Q23" s="136" t="n">
        <x:f>SUM(N23:P23)</x:f>
        <x:v>702723.4607146875</x:v>
      </x:c>
      <x:c r="R23" s="136" t="n">
        <x:f>I23*Inputs!$B$8</x:f>
        <x:v>4133667.41596875</x:v>
      </x:c>
      <x:c r="S23" s="136" t="str">
        <x:f>IF(R23&lt;=Inputs!$B$13,"PASS","EXCEEDS")</x:f>
        <x:v>EXCEEDS</x:v>
      </x:c>
      <x:c r="T23" s="136" t="str">
        <x:f>IF(L23&lt;=Inputs!$B$14,"PASS","EXCEEDS")</x:f>
        <x:v>PASS</x:v>
      </x:c>
      <x:c r="U23" s="136" t="str">
        <x:v>Sb-equivalent; illustrative</x:v>
      </x:c>
    </x:row>
    <x:row r="24" ht="20" customHeight="1">
      <x:c r="A24" s="136" t="n">
        <x:v>2028</x:v>
      </x:c>
      <x:c r="B24" s="136" t="str">
        <x:v>Inventory-led</x:v>
      </x:c>
      <x:c r="C24" s="136" t="str">
        <x:v>Stress</x:v>
      </x:c>
      <x:c r="D24" s="136" t="n">
        <x:f>Inputs!$B$6</x:f>
        <x:v>100</x:v>
      </x:c>
      <x:c r="E24" s="136" t="n">
        <x:f>Options!$D$8*Ramp!$B$7</x:f>
        <x:v>0</x:v>
      </x:c>
      <x:c r="F24" s="136" t="n">
        <x:f>Options!$C$8</x:f>
        <x:v>0.25</x:v>
      </x:c>
      <x:c r="G24" s="136" t="n">
        <x:f>1-E24-F24</x:f>
        <x:v>0.75</x:v>
      </x:c>
      <x:c r="H24" s="136" t="n">
        <x:f>D24*Scenarios!$B$7/12*(G24*Scenarios!$C$7+F24*Scenarios!$D$7+E24*Scenarios!$E$7)</x:f>
        <x:v>16.666666666666664</x:v>
      </x:c>
      <x:c r="I24" s="136" t="n">
        <x:f>D24*Options!$E$8/12</x:f>
        <x:v>75</x:v>
      </x:c>
      <x:c r="J24" s="136" t="n">
        <x:f>MIN(H24,I24)</x:f>
        <x:v>16.666666666666664</x:v>
      </x:c>
      <x:c r="K24" s="136" t="n">
        <x:f>MAX(0,H24-J24)*Scenarios!$F$7</x:f>
        <x:v>0</x:v>
      </x:c>
      <x:c r="L24" s="136" t="n">
        <x:f>MAX(0,H24-J24-K24)</x:f>
        <x:v>0</x:v>
      </x:c>
      <x:c r="M24" s="136" t="n">
        <x:f>IF(D24&gt;0,1-L24/D24,0)</x:f>
        <x:v>1</x:v>
      </x:c>
      <x:c r="N24" s="136" t="n">
        <x:f>D24*Inputs!$B$8*(F24*Inputs!$B$9+E24*Inputs!$B$10)</x:f>
        <x:v>206683.37079843748</x:v>
      </x:c>
      <x:c r="O24" s="136" t="n">
        <x:f>I24*Inputs!$B$8*Inputs!$B$11</x:f>
        <x:v>496040.08991624997</x:v>
      </x:c>
      <x:c r="P24" s="136" t="n">
        <x:f>K24*Inputs!$B$8*Scenarios!$G$7</x:f>
        <x:v>0</x:v>
      </x:c>
      <x:c r="Q24" s="136" t="n">
        <x:f>SUM(N24:P24)</x:f>
        <x:v>702723.4607146875</x:v>
      </x:c>
      <x:c r="R24" s="136" t="n">
        <x:f>I24*Inputs!$B$8</x:f>
        <x:v>4133667.41596875</x:v>
      </x:c>
      <x:c r="S24" s="136" t="str">
        <x:f>IF(R24&lt;=Inputs!$B$13,"PASS","EXCEEDS")</x:f>
        <x:v>EXCEEDS</x:v>
      </x:c>
      <x:c r="T24" s="136" t="str">
        <x:f>IF(L24&lt;=Inputs!$B$14,"PASS","EXCEEDS")</x:f>
        <x:v>PASS</x:v>
      </x:c>
      <x:c r="U24" s="136" t="str">
        <x:v>Sb-equivalent; illustrative</x:v>
      </x:c>
    </x:row>
    <x:row r="25" ht="20" customHeight="1">
      <x:c r="A25" s="161" t="n">
        <x:v>2028</x:v>
      </x:c>
      <x:c r="B25" s="161" t="str">
        <x:v>Inventory-led</x:v>
      </x:c>
      <x:c r="C25" s="161" t="str">
        <x:v>Severe</x:v>
      </x:c>
      <x:c r="D25" s="136" t="n">
        <x:f>Inputs!$B$6</x:f>
        <x:v>100</x:v>
      </x:c>
      <x:c r="E25" s="136" t="n">
        <x:f>Options!$D$8*Ramp!$B$7</x:f>
        <x:v>0</x:v>
      </x:c>
      <x:c r="F25" s="136" t="n">
        <x:f>Options!$C$8</x:f>
        <x:v>0.25</x:v>
      </x:c>
      <x:c r="G25" s="136" t="n">
        <x:f>1-E25-F25</x:f>
        <x:v>0.75</x:v>
      </x:c>
      <x:c r="H25" s="136" t="n">
        <x:f>D25*Scenarios!$B$8/12*(G25*Scenarios!$C$8+F25*Scenarios!$D$8+E25*Scenarios!$E$8)</x:f>
        <x:v>52.50000000000001</x:v>
      </x:c>
      <x:c r="I25" s="136" t="n">
        <x:f>D25*Options!$E$8/12</x:f>
        <x:v>75</x:v>
      </x:c>
      <x:c r="J25" s="136" t="n">
        <x:f>MIN(H25,I25)</x:f>
        <x:v>52.50000000000001</x:v>
      </x:c>
      <x:c r="K25" s="136" t="n">
        <x:f>MAX(0,H25-J25)*Scenarios!$F$8</x:f>
        <x:v>0</x:v>
      </x:c>
      <x:c r="L25" s="136" t="n">
        <x:f>MAX(0,H25-J25-K25)</x:f>
        <x:v>0</x:v>
      </x:c>
      <x:c r="M25" s="136" t="n">
        <x:f>IF(D25&gt;0,1-L25/D25,0)</x:f>
        <x:v>1</x:v>
      </x:c>
      <x:c r="N25" s="136" t="n">
        <x:f>D25*Inputs!$B$8*(F25*Inputs!$B$9+E25*Inputs!$B$10)</x:f>
        <x:v>206683.37079843748</x:v>
      </x:c>
      <x:c r="O25" s="136" t="n">
        <x:f>I25*Inputs!$B$8*Inputs!$B$11</x:f>
        <x:v>496040.08991624997</x:v>
      </x:c>
      <x:c r="P25" s="136" t="n">
        <x:f>K25*Inputs!$B$8*Scenarios!$G$8</x:f>
        <x:v>0</x:v>
      </x:c>
      <x:c r="Q25" s="136" t="n">
        <x:f>SUM(N25:P25)</x:f>
        <x:v>702723.4607146875</x:v>
      </x:c>
      <x:c r="R25" s="136" t="n">
        <x:f>I25*Inputs!$B$8</x:f>
        <x:v>4133667.41596875</x:v>
      </x:c>
      <x:c r="S25" s="136" t="str">
        <x:f>IF(R25&lt;=Inputs!$B$13,"PASS","EXCEEDS")</x:f>
        <x:v>EXCEEDS</x:v>
      </x:c>
      <x:c r="T25" s="136" t="str">
        <x:f>IF(L25&lt;=Inputs!$B$14,"PASS","EXCEEDS")</x:f>
        <x:v>PASS</x:v>
      </x:c>
      <x:c r="U25" s="136" t="str">
        <x:v>Sb-equivalent; illustrative</x:v>
      </x:c>
    </x:row>
    <x:row r="26" ht="20" customHeight="1">
      <x:c r="A26" s="136" t="n">
        <x:v>2028</x:v>
      </x:c>
      <x:c r="B26" s="136" t="str">
        <x:v>Balanced</x:v>
      </x:c>
      <x:c r="C26" s="136" t="str">
        <x:v>Base</x:v>
      </x:c>
      <x:c r="D26" s="136" t="n">
        <x:f>Inputs!$B$6</x:f>
        <x:v>100</x:v>
      </x:c>
      <x:c r="E26" s="136" t="n">
        <x:f>Options!$D$9*Ramp!$B$7</x:f>
        <x:v>0</x:v>
      </x:c>
      <x:c r="F26" s="136" t="n">
        <x:f>Options!$C$9</x:f>
        <x:v>0.45</x:v>
      </x:c>
      <x:c r="G26" s="136" t="n">
        <x:f>1-E26-F26</x:f>
        <x:v>0.55</x:v>
      </x:c>
      <x:c r="H26" s="136" t="n">
        <x:f>D26*Scenarios!$B$6/12*(G26*Scenarios!$C$6+F26*Scenarios!$D$6+E26*Scenarios!$E$6)</x:f>
        <x:v>0</x:v>
      </x:c>
      <x:c r="I26" s="136" t="n">
        <x:f>D26*Options!$E$9/12</x:f>
        <x:v>41.666666666666664</x:v>
      </x:c>
      <x:c r="J26" s="136" t="n">
        <x:f>MIN(H26,I26)</x:f>
        <x:v>0</x:v>
      </x:c>
      <x:c r="K26" s="136" t="n">
        <x:f>MAX(0,H26-J26)*Scenarios!$F$6</x:f>
        <x:v>0</x:v>
      </x:c>
      <x:c r="L26" s="136" t="n">
        <x:f>MAX(0,H26-J26-K26)</x:f>
        <x:v>0</x:v>
      </x:c>
      <x:c r="M26" s="136" t="n">
        <x:f>IF(D26&gt;0,1-L26/D26,0)</x:f>
        <x:v>1</x:v>
      </x:c>
      <x:c r="N26" s="136" t="n">
        <x:f>D26*Inputs!$B$8*(F26*Inputs!$B$9+E26*Inputs!$B$10)</x:f>
        <x:v>372030.06743718754</x:v>
      </x:c>
      <x:c r="O26" s="136" t="n">
        <x:f>I26*Inputs!$B$8*Inputs!$B$11</x:f>
        <x:v>275577.82773124997</x:v>
      </x:c>
      <x:c r="P26" s="136" t="n">
        <x:f>K26*Inputs!$B$8*Scenarios!$G$6</x:f>
        <x:v>0</x:v>
      </x:c>
      <x:c r="Q26" s="136" t="n">
        <x:f>SUM(N26:P26)</x:f>
        <x:v>647607.8951684375</x:v>
      </x:c>
      <x:c r="R26" s="136" t="n">
        <x:f>I26*Inputs!$B$8</x:f>
        <x:v>2296481.8977604164</x:v>
      </x:c>
      <x:c r="S26" s="136" t="str">
        <x:f>IF(R26&lt;=Inputs!$B$13,"PASS","EXCEEDS")</x:f>
        <x:v>PASS</x:v>
      </x:c>
      <x:c r="T26" s="136" t="str">
        <x:f>IF(L26&lt;=Inputs!$B$14,"PASS","EXCEEDS")</x:f>
        <x:v>PASS</x:v>
      </x:c>
      <x:c r="U26" s="136" t="str">
        <x:v>Sb-equivalent; illustrative</x:v>
      </x:c>
    </x:row>
    <x:row r="27" ht="20" customHeight="1">
      <x:c r="A27" s="136" t="n">
        <x:v>2028</x:v>
      </x:c>
      <x:c r="B27" s="136" t="str">
        <x:v>Balanced</x:v>
      </x:c>
      <x:c r="C27" s="136" t="str">
        <x:v>Stress</x:v>
      </x:c>
      <x:c r="D27" s="136" t="n">
        <x:f>Inputs!$B$6</x:f>
        <x:v>100</x:v>
      </x:c>
      <x:c r="E27" s="136" t="n">
        <x:f>Options!$D$9*Ramp!$B$7</x:f>
        <x:v>0</x:v>
      </x:c>
      <x:c r="F27" s="136" t="n">
        <x:f>Options!$C$9</x:f>
        <x:v>0.45</x:v>
      </x:c>
      <x:c r="G27" s="136" t="n">
        <x:f>1-E27-F27</x:f>
        <x:v>0.55</x:v>
      </x:c>
      <x:c r="H27" s="136" t="n">
        <x:f>D27*Scenarios!$B$7/12*(G27*Scenarios!$C$7+F27*Scenarios!$D$7+E27*Scenarios!$E$7)</x:f>
        <x:v>14.000000000000002</x:v>
      </x:c>
      <x:c r="I27" s="136" t="n">
        <x:f>D27*Options!$E$9/12</x:f>
        <x:v>41.666666666666664</x:v>
      </x:c>
      <x:c r="J27" s="136" t="n">
        <x:f>MIN(H27,I27)</x:f>
        <x:v>14.000000000000002</x:v>
      </x:c>
      <x:c r="K27" s="136" t="n">
        <x:f>MAX(0,H27-J27)*Scenarios!$F$7</x:f>
        <x:v>0</x:v>
      </x:c>
      <x:c r="L27" s="136" t="n">
        <x:f>MAX(0,H27-J27-K27)</x:f>
        <x:v>0</x:v>
      </x:c>
      <x:c r="M27" s="136" t="n">
        <x:f>IF(D27&gt;0,1-L27/D27,0)</x:f>
        <x:v>1</x:v>
      </x:c>
      <x:c r="N27" s="136" t="n">
        <x:f>D27*Inputs!$B$8*(F27*Inputs!$B$9+E27*Inputs!$B$10)</x:f>
        <x:v>372030.06743718754</x:v>
      </x:c>
      <x:c r="O27" s="136" t="n">
        <x:f>I27*Inputs!$B$8*Inputs!$B$11</x:f>
        <x:v>275577.82773124997</x:v>
      </x:c>
      <x:c r="P27" s="136" t="n">
        <x:f>K27*Inputs!$B$8*Scenarios!$G$7</x:f>
        <x:v>0</x:v>
      </x:c>
      <x:c r="Q27" s="136" t="n">
        <x:f>SUM(N27:P27)</x:f>
        <x:v>647607.8951684375</x:v>
      </x:c>
      <x:c r="R27" s="136" t="n">
        <x:f>I27*Inputs!$B$8</x:f>
        <x:v>2296481.8977604164</x:v>
      </x:c>
      <x:c r="S27" s="136" t="str">
        <x:f>IF(R27&lt;=Inputs!$B$13,"PASS","EXCEEDS")</x:f>
        <x:v>PASS</x:v>
      </x:c>
      <x:c r="T27" s="136" t="str">
        <x:f>IF(L27&lt;=Inputs!$B$14,"PASS","EXCEEDS")</x:f>
        <x:v>PASS</x:v>
      </x:c>
      <x:c r="U27" s="136" t="str">
        <x:v>Sb-equivalent; illustrative</x:v>
      </x:c>
    </x:row>
    <x:row r="28" ht="20" customHeight="1">
      <x:c r="A28" s="161" t="n">
        <x:v>2028</x:v>
      </x:c>
      <x:c r="B28" s="161" t="str">
        <x:v>Balanced</x:v>
      </x:c>
      <x:c r="C28" s="161" t="str">
        <x:v>Severe</x:v>
      </x:c>
      <x:c r="D28" s="136" t="n">
        <x:f>Inputs!$B$6</x:f>
        <x:v>100</x:v>
      </x:c>
      <x:c r="E28" s="136" t="n">
        <x:f>Options!$D$9*Ramp!$B$7</x:f>
        <x:v>0</x:v>
      </x:c>
      <x:c r="F28" s="136" t="n">
        <x:f>Options!$C$9</x:f>
        <x:v>0.45</x:v>
      </x:c>
      <x:c r="G28" s="136" t="n">
        <x:f>1-E28-F28</x:f>
        <x:v>0.55</x:v>
      </x:c>
      <x:c r="H28" s="136" t="n">
        <x:f>D28*Scenarios!$B$8/12*(G28*Scenarios!$C$8+F28*Scenarios!$D$8+E28*Scenarios!$E$8)</x:f>
        <x:v>46.50000000000001</x:v>
      </x:c>
      <x:c r="I28" s="136" t="n">
        <x:f>D28*Options!$E$9/12</x:f>
        <x:v>41.666666666666664</x:v>
      </x:c>
      <x:c r="J28" s="136" t="n">
        <x:f>MIN(H28,I28)</x:f>
        <x:v>41.666666666666664</x:v>
      </x:c>
      <x:c r="K28" s="136" t="n">
        <x:f>MAX(0,H28-J28)*Scenarios!$F$8</x:f>
        <x:v>0.4833333333333343</x:v>
      </x:c>
      <x:c r="L28" s="136" t="n">
        <x:f>MAX(0,H28-J28-K28)</x:f>
        <x:v>4.3500000000000085</x:v>
      </x:c>
      <x:c r="M28" s="136" t="n">
        <x:f>IF(D28&gt;0,1-L28/D28,0)</x:f>
        <x:v>0.9564999999999999</x:v>
      </x:c>
      <x:c r="N28" s="136" t="n">
        <x:f>D28*Inputs!$B$8*(F28*Inputs!$B$9+E28*Inputs!$B$10)</x:f>
        <x:v>372030.06743718754</x:v>
      </x:c>
      <x:c r="O28" s="136" t="n">
        <x:f>I28*Inputs!$B$8*Inputs!$B$11</x:f>
        <x:v>275577.82773124997</x:v>
      </x:c>
      <x:c r="P28" s="136" t="n">
        <x:f>K28*Inputs!$B$8*Scenarios!$G$8</x:f>
        <x:v>39958.785021031326</x:v>
      </x:c>
      <x:c r="Q28" s="136" t="n">
        <x:f>SUM(N28:P28)</x:f>
        <x:v>687566.6801894688</x:v>
      </x:c>
      <x:c r="R28" s="136" t="n">
        <x:f>I28*Inputs!$B$8</x:f>
        <x:v>2296481.8977604164</x:v>
      </x:c>
      <x:c r="S28" s="136" t="str">
        <x:f>IF(R28&lt;=Inputs!$B$13,"PASS","EXCEEDS")</x:f>
        <x:v>PASS</x:v>
      </x:c>
      <x:c r="T28" s="136" t="str">
        <x:f>IF(L28&lt;=Inputs!$B$14,"PASS","EXCEEDS")</x:f>
        <x:v>PASS</x:v>
      </x:c>
      <x:c r="U28" s="136" t="str">
        <x:v>Sb-equivalent; illustrative</x:v>
      </x:c>
    </x:row>
    <x:row r="29" ht="20" customHeight="1">
      <x:c r="A29" s="136" t="n">
        <x:v>2029</x:v>
      </x:c>
      <x:c r="B29" s="136" t="str">
        <x:v>Domestic-led</x:v>
      </x:c>
      <x:c r="C29" s="136" t="str">
        <x:v>Base</x:v>
      </x:c>
      <x:c r="D29" s="136" t="n">
        <x:f>Inputs!$B$6</x:f>
        <x:v>100</x:v>
      </x:c>
      <x:c r="E29" s="136" t="n">
        <x:f>Options!$D$6*Ramp!$B$8</x:f>
        <x:v>0</x:v>
      </x:c>
      <x:c r="F29" s="136" t="n">
        <x:f>Options!$C$6</x:f>
        <x:v>0.25</x:v>
      </x:c>
      <x:c r="G29" s="136" t="n">
        <x:f>1-E29-F29</x:f>
        <x:v>0.75</x:v>
      </x:c>
      <x:c r="H29" s="136" t="n">
        <x:f>D29*Scenarios!$B$6/12*(G29*Scenarios!$C$6+F29*Scenarios!$D$6+E29*Scenarios!$E$6)</x:f>
        <x:v>0</x:v>
      </x:c>
      <x:c r="I29" s="136" t="n">
        <x:f>D29*Options!$E$6/12</x:f>
        <x:v>16.666666666666668</x:v>
      </x:c>
      <x:c r="J29" s="136" t="n">
        <x:f>MIN(H29,I29)</x:f>
        <x:v>0</x:v>
      </x:c>
      <x:c r="K29" s="136" t="n">
        <x:f>MAX(0,H29-J29)*Scenarios!$F$6</x:f>
        <x:v>0</x:v>
      </x:c>
      <x:c r="L29" s="136" t="n">
        <x:f>MAX(0,H29-J29-K29)</x:f>
        <x:v>0</x:v>
      </x:c>
      <x:c r="M29" s="136" t="n">
        <x:f>IF(D29&gt;0,1-L29/D29,0)</x:f>
        <x:v>1</x:v>
      </x:c>
      <x:c r="N29" s="136" t="n">
        <x:f>D29*Inputs!$B$8*(F29*Inputs!$B$9+E29*Inputs!$B$10)</x:f>
        <x:v>206683.37079843748</x:v>
      </x:c>
      <x:c r="O29" s="136" t="n">
        <x:f>I29*Inputs!$B$8*Inputs!$B$11</x:f>
        <x:v>110231.13109250001</x:v>
      </x:c>
      <x:c r="P29" s="136" t="n">
        <x:f>K29*Inputs!$B$8*Scenarios!$G$6</x:f>
        <x:v>0</x:v>
      </x:c>
      <x:c r="Q29" s="136" t="n">
        <x:f>SUM(N29:P29)</x:f>
        <x:v>316914.5018909375</x:v>
      </x:c>
      <x:c r="R29" s="136" t="n">
        <x:f>I29*Inputs!$B$8</x:f>
        <x:v>918592.7591041668</x:v>
      </x:c>
      <x:c r="S29" s="136" t="str">
        <x:f>IF(R29&lt;=Inputs!$B$13,"PASS","EXCEEDS")</x:f>
        <x:v>PASS</x:v>
      </x:c>
      <x:c r="T29" s="136" t="str">
        <x:f>IF(L29&lt;=Inputs!$B$14,"PASS","EXCEEDS")</x:f>
        <x:v>PASS</x:v>
      </x:c>
      <x:c r="U29" s="136" t="str">
        <x:v>Sb-equivalent; illustrative</x:v>
      </x:c>
    </x:row>
    <x:row r="30" ht="20" customHeight="1">
      <x:c r="A30" s="136" t="n">
        <x:v>2029</x:v>
      </x:c>
      <x:c r="B30" s="136" t="str">
        <x:v>Domestic-led</x:v>
      </x:c>
      <x:c r="C30" s="136" t="str">
        <x:v>Stress</x:v>
      </x:c>
      <x:c r="D30" s="136" t="n">
        <x:f>Inputs!$B$6</x:f>
        <x:v>100</x:v>
      </x:c>
      <x:c r="E30" s="136" t="n">
        <x:f>Options!$D$6*Ramp!$B$8</x:f>
        <x:v>0</x:v>
      </x:c>
      <x:c r="F30" s="136" t="n">
        <x:f>Options!$C$6</x:f>
        <x:v>0.25</x:v>
      </x:c>
      <x:c r="G30" s="136" t="n">
        <x:f>1-E30-F30</x:f>
        <x:v>0.75</x:v>
      </x:c>
      <x:c r="H30" s="136" t="n">
        <x:f>D30*Scenarios!$B$7/12*(G30*Scenarios!$C$7+F30*Scenarios!$D$7+E30*Scenarios!$E$7)</x:f>
        <x:v>16.666666666666664</x:v>
      </x:c>
      <x:c r="I30" s="136" t="n">
        <x:f>D30*Options!$E$6/12</x:f>
        <x:v>16.666666666666668</x:v>
      </x:c>
      <x:c r="J30" s="136" t="n">
        <x:f>MIN(H30,I30)</x:f>
        <x:v>16.666666666666664</x:v>
      </x:c>
      <x:c r="K30" s="136" t="n">
        <x:f>MAX(0,H30-J30)*Scenarios!$F$7</x:f>
        <x:v>0</x:v>
      </x:c>
      <x:c r="L30" s="136" t="n">
        <x:f>MAX(0,H30-J30-K30)</x:f>
        <x:v>0</x:v>
      </x:c>
      <x:c r="M30" s="136" t="n">
        <x:f>IF(D30&gt;0,1-L30/D30,0)</x:f>
        <x:v>1</x:v>
      </x:c>
      <x:c r="N30" s="136" t="n">
        <x:f>D30*Inputs!$B$8*(F30*Inputs!$B$9+E30*Inputs!$B$10)</x:f>
        <x:v>206683.37079843748</x:v>
      </x:c>
      <x:c r="O30" s="136" t="n">
        <x:f>I30*Inputs!$B$8*Inputs!$B$11</x:f>
        <x:v>110231.13109250001</x:v>
      </x:c>
      <x:c r="P30" s="136" t="n">
        <x:f>K30*Inputs!$B$8*Scenarios!$G$7</x:f>
        <x:v>0</x:v>
      </x:c>
      <x:c r="Q30" s="136" t="n">
        <x:f>SUM(N30:P30)</x:f>
        <x:v>316914.5018909375</x:v>
      </x:c>
      <x:c r="R30" s="136" t="n">
        <x:f>I30*Inputs!$B$8</x:f>
        <x:v>918592.7591041668</x:v>
      </x:c>
      <x:c r="S30" s="136" t="str">
        <x:f>IF(R30&lt;=Inputs!$B$13,"PASS","EXCEEDS")</x:f>
        <x:v>PASS</x:v>
      </x:c>
      <x:c r="T30" s="136" t="str">
        <x:f>IF(L30&lt;=Inputs!$B$14,"PASS","EXCEEDS")</x:f>
        <x:v>PASS</x:v>
      </x:c>
      <x:c r="U30" s="136" t="str">
        <x:v>Sb-equivalent; illustrative</x:v>
      </x:c>
    </x:row>
    <x:row r="31" ht="20" customHeight="1">
      <x:c r="A31" s="161" t="n">
        <x:v>2029</x:v>
      </x:c>
      <x:c r="B31" s="161" t="str">
        <x:v>Domestic-led</x:v>
      </x:c>
      <x:c r="C31" s="161" t="str">
        <x:v>Severe</x:v>
      </x:c>
      <x:c r="D31" s="136" t="n">
        <x:f>Inputs!$B$6</x:f>
        <x:v>100</x:v>
      </x:c>
      <x:c r="E31" s="136" t="n">
        <x:f>Options!$D$6*Ramp!$B$8</x:f>
        <x:v>0</x:v>
      </x:c>
      <x:c r="F31" s="136" t="n">
        <x:f>Options!$C$6</x:f>
        <x:v>0.25</x:v>
      </x:c>
      <x:c r="G31" s="136" t="n">
        <x:f>1-E31-F31</x:f>
        <x:v>0.75</x:v>
      </x:c>
      <x:c r="H31" s="136" t="n">
        <x:f>D31*Scenarios!$B$8/12*(G31*Scenarios!$C$8+F31*Scenarios!$D$8+E31*Scenarios!$E$8)</x:f>
        <x:v>52.50000000000001</x:v>
      </x:c>
      <x:c r="I31" s="136" t="n">
        <x:f>D31*Options!$E$6/12</x:f>
        <x:v>16.666666666666668</x:v>
      </x:c>
      <x:c r="J31" s="136" t="n">
        <x:f>MIN(H31,I31)</x:f>
        <x:v>16.666666666666668</x:v>
      </x:c>
      <x:c r="K31" s="136" t="n">
        <x:f>MAX(0,H31-J31)*Scenarios!$F$8</x:f>
        <x:v>3.5833333333333344</x:v>
      </x:c>
      <x:c r="L31" s="136" t="n">
        <x:f>MAX(0,H31-J31-K31)</x:f>
        <x:v>32.25000000000001</x:v>
      </x:c>
      <x:c r="M31" s="136" t="n">
        <x:f>IF(D31&gt;0,1-L31/D31,0)</x:f>
        <x:v>0.6775</x:v>
      </x:c>
      <x:c r="N31" s="136" t="n">
        <x:f>D31*Inputs!$B$8*(F31*Inputs!$B$9+E31*Inputs!$B$10)</x:f>
        <x:v>206683.37079843748</x:v>
      </x:c>
      <x:c r="O31" s="136" t="n">
        <x:f>I31*Inputs!$B$8*Inputs!$B$11</x:f>
        <x:v>110231.13109250001</x:v>
      </x:c>
      <x:c r="P31" s="136" t="n">
        <x:f>K31*Inputs!$B$8*Scenarios!$G$8</x:f>
        <x:v>296246.1648110938</x:v>
      </x:c>
      <x:c r="Q31" s="136" t="n">
        <x:f>SUM(N31:P31)</x:f>
        <x:v>613160.6667020314</x:v>
      </x:c>
      <x:c r="R31" s="136" t="n">
        <x:f>I31*Inputs!$B$8</x:f>
        <x:v>918592.7591041668</x:v>
      </x:c>
      <x:c r="S31" s="136" t="str">
        <x:f>IF(R31&lt;=Inputs!$B$13,"PASS","EXCEEDS")</x:f>
        <x:v>PASS</x:v>
      </x:c>
      <x:c r="T31" s="136" t="str">
        <x:f>IF(L31&lt;=Inputs!$B$14,"PASS","EXCEEDS")</x:f>
        <x:v>EXCEEDS</x:v>
      </x:c>
      <x:c r="U31" s="136" t="str">
        <x:v>Sb-equivalent; illustrative</x:v>
      </x:c>
    </x:row>
    <x:row r="32" ht="20" customHeight="1">
      <x:c r="A32" s="136" t="n">
        <x:v>2029</x:v>
      </x:c>
      <x:c r="B32" s="136" t="str">
        <x:v>Diversification-led</x:v>
      </x:c>
      <x:c r="C32" s="136" t="str">
        <x:v>Base</x:v>
      </x:c>
      <x:c r="D32" s="136" t="n">
        <x:f>Inputs!$B$6</x:f>
        <x:v>100</x:v>
      </x:c>
      <x:c r="E32" s="136" t="n">
        <x:f>Options!$D$7*Ramp!$B$8</x:f>
        <x:v>0</x:v>
      </x:c>
      <x:c r="F32" s="136" t="n">
        <x:f>Options!$C$7</x:f>
        <x:v>0.55</x:v>
      </x:c>
      <x:c r="G32" s="136" t="n">
        <x:f>1-E32-F32</x:f>
        <x:v>0.44999999999999996</x:v>
      </x:c>
      <x:c r="H32" s="136" t="n">
        <x:f>D32*Scenarios!$B$6/12*(G32*Scenarios!$C$6+F32*Scenarios!$D$6+E32*Scenarios!$E$6)</x:f>
        <x:v>0</x:v>
      </x:c>
      <x:c r="I32" s="136" t="n">
        <x:f>D32*Options!$E$7/12</x:f>
        <x:v>25</x:v>
      </x:c>
      <x:c r="J32" s="136" t="n">
        <x:f>MIN(H32,I32)</x:f>
        <x:v>0</x:v>
      </x:c>
      <x:c r="K32" s="136" t="n">
        <x:f>MAX(0,H32-J32)*Scenarios!$F$6</x:f>
        <x:v>0</x:v>
      </x:c>
      <x:c r="L32" s="136" t="n">
        <x:f>MAX(0,H32-J32-K32)</x:f>
        <x:v>0</x:v>
      </x:c>
      <x:c r="M32" s="136" t="n">
        <x:f>IF(D32&gt;0,1-L32/D32,0)</x:f>
        <x:v>1</x:v>
      </x:c>
      <x:c r="N32" s="136" t="n">
        <x:f>D32*Inputs!$B$8*(F32*Inputs!$B$9+E32*Inputs!$B$10)</x:f>
        <x:v>454703.4157565625</x:v>
      </x:c>
      <x:c r="O32" s="136" t="n">
        <x:f>I32*Inputs!$B$8*Inputs!$B$11</x:f>
        <x:v>165346.69663875</x:v>
      </x:c>
      <x:c r="P32" s="136" t="n">
        <x:f>K32*Inputs!$B$8*Scenarios!$G$6</x:f>
        <x:v>0</x:v>
      </x:c>
      <x:c r="Q32" s="136" t="n">
        <x:f>SUM(N32:P32)</x:f>
        <x:v>620050.1123953125</x:v>
      </x:c>
      <x:c r="R32" s="136" t="n">
        <x:f>I32*Inputs!$B$8</x:f>
        <x:v>1377889.13865625</x:v>
      </x:c>
      <x:c r="S32" s="136" t="str">
        <x:f>IF(R32&lt;=Inputs!$B$13,"PASS","EXCEEDS")</x:f>
        <x:v>PASS</x:v>
      </x:c>
      <x:c r="T32" s="136" t="str">
        <x:f>IF(L32&lt;=Inputs!$B$14,"PASS","EXCEEDS")</x:f>
        <x:v>PASS</x:v>
      </x:c>
      <x:c r="U32" s="136" t="str">
        <x:v>Sb-equivalent; illustrative</x:v>
      </x:c>
    </x:row>
    <x:row r="33" ht="20" customHeight="1">
      <x:c r="A33" s="136" t="n">
        <x:v>2029</x:v>
      </x:c>
      <x:c r="B33" s="136" t="str">
        <x:v>Diversification-led</x:v>
      </x:c>
      <x:c r="C33" s="136" t="str">
        <x:v>Stress</x:v>
      </x:c>
      <x:c r="D33" s="136" t="n">
        <x:f>Inputs!$B$6</x:f>
        <x:v>100</x:v>
      </x:c>
      <x:c r="E33" s="136" t="n">
        <x:f>Options!$D$7*Ramp!$B$8</x:f>
        <x:v>0</x:v>
      </x:c>
      <x:c r="F33" s="136" t="n">
        <x:f>Options!$C$7</x:f>
        <x:v>0.55</x:v>
      </x:c>
      <x:c r="G33" s="136" t="n">
        <x:f>1-E33-F33</x:f>
        <x:v>0.44999999999999996</x:v>
      </x:c>
      <x:c r="H33" s="136" t="n">
        <x:f>D33*Scenarios!$B$7/12*(G33*Scenarios!$C$7+F33*Scenarios!$D$7+E33*Scenarios!$E$7)</x:f>
        <x:v>12.666666666666668</x:v>
      </x:c>
      <x:c r="I33" s="136" t="n">
        <x:f>D33*Options!$E$7/12</x:f>
        <x:v>25</x:v>
      </x:c>
      <x:c r="J33" s="136" t="n">
        <x:f>MIN(H33,I33)</x:f>
        <x:v>12.666666666666668</x:v>
      </x:c>
      <x:c r="K33" s="136" t="n">
        <x:f>MAX(0,H33-J33)*Scenarios!$F$7</x:f>
        <x:v>0</x:v>
      </x:c>
      <x:c r="L33" s="136" t="n">
        <x:f>MAX(0,H33-J33-K33)</x:f>
        <x:v>0</x:v>
      </x:c>
      <x:c r="M33" s="136" t="n">
        <x:f>IF(D33&gt;0,1-L33/D33,0)</x:f>
        <x:v>1</x:v>
      </x:c>
      <x:c r="N33" s="136" t="n">
        <x:f>D33*Inputs!$B$8*(F33*Inputs!$B$9+E33*Inputs!$B$10)</x:f>
        <x:v>454703.4157565625</x:v>
      </x:c>
      <x:c r="O33" s="136" t="n">
        <x:f>I33*Inputs!$B$8*Inputs!$B$11</x:f>
        <x:v>165346.69663875</x:v>
      </x:c>
      <x:c r="P33" s="136" t="n">
        <x:f>K33*Inputs!$B$8*Scenarios!$G$7</x:f>
        <x:v>0</x:v>
      </x:c>
      <x:c r="Q33" s="136" t="n">
        <x:f>SUM(N33:P33)</x:f>
        <x:v>620050.1123953125</x:v>
      </x:c>
      <x:c r="R33" s="136" t="n">
        <x:f>I33*Inputs!$B$8</x:f>
        <x:v>1377889.13865625</x:v>
      </x:c>
      <x:c r="S33" s="136" t="str">
        <x:f>IF(R33&lt;=Inputs!$B$13,"PASS","EXCEEDS")</x:f>
        <x:v>PASS</x:v>
      </x:c>
      <x:c r="T33" s="136" t="str">
        <x:f>IF(L33&lt;=Inputs!$B$14,"PASS","EXCEEDS")</x:f>
        <x:v>PASS</x:v>
      </x:c>
      <x:c r="U33" s="136" t="str">
        <x:v>Sb-equivalent; illustrative</x:v>
      </x:c>
    </x:row>
    <x:row r="34" ht="20" customHeight="1">
      <x:c r="A34" s="161" t="n">
        <x:v>2029</x:v>
      </x:c>
      <x:c r="B34" s="161" t="str">
        <x:v>Diversification-led</x:v>
      </x:c>
      <x:c r="C34" s="161" t="str">
        <x:v>Severe</x:v>
      </x:c>
      <x:c r="D34" s="136" t="n">
        <x:f>Inputs!$B$6</x:f>
        <x:v>100</x:v>
      </x:c>
      <x:c r="E34" s="136" t="n">
        <x:f>Options!$D$7*Ramp!$B$8</x:f>
        <x:v>0</x:v>
      </x:c>
      <x:c r="F34" s="136" t="n">
        <x:f>Options!$C$7</x:f>
        <x:v>0.55</x:v>
      </x:c>
      <x:c r="G34" s="136" t="n">
        <x:f>1-E34-F34</x:f>
        <x:v>0.44999999999999996</x:v>
      </x:c>
      <x:c r="H34" s="136" t="n">
        <x:f>D34*Scenarios!$B$8/12*(G34*Scenarios!$C$8+F34*Scenarios!$D$8+E34*Scenarios!$E$8)</x:f>
        <x:v>43.5</x:v>
      </x:c>
      <x:c r="I34" s="136" t="n">
        <x:f>D34*Options!$E$7/12</x:f>
        <x:v>25</x:v>
      </x:c>
      <x:c r="J34" s="136" t="n">
        <x:f>MIN(H34,I34)</x:f>
        <x:v>25</x:v>
      </x:c>
      <x:c r="K34" s="136" t="n">
        <x:f>MAX(0,H34-J34)*Scenarios!$F$8</x:f>
        <x:v>1.85</x:v>
      </x:c>
      <x:c r="L34" s="136" t="n">
        <x:f>MAX(0,H34-J34-K34)</x:f>
        <x:v>16.65</x:v>
      </x:c>
      <x:c r="M34" s="136" t="n">
        <x:f>IF(D34&gt;0,1-L34/D34,0)</x:f>
        <x:v>0.8335</x:v>
      </x:c>
      <x:c r="N34" s="136" t="n">
        <x:f>D34*Inputs!$B$8*(F34*Inputs!$B$9+E34*Inputs!$B$10)</x:f>
        <x:v>454703.4157565625</x:v>
      </x:c>
      <x:c r="O34" s="136" t="n">
        <x:f>I34*Inputs!$B$8*Inputs!$B$11</x:f>
        <x:v>165346.69663875</x:v>
      </x:c>
      <x:c r="P34" s="136" t="n">
        <x:f>K34*Inputs!$B$8*Scenarios!$G$8</x:f>
        <x:v>152945.69439084377</x:v>
      </x:c>
      <x:c r="Q34" s="136" t="n">
        <x:f>SUM(N34:P34)</x:f>
        <x:v>772995.8067861563</x:v>
      </x:c>
      <x:c r="R34" s="136" t="n">
        <x:f>I34*Inputs!$B$8</x:f>
        <x:v>1377889.13865625</x:v>
      </x:c>
      <x:c r="S34" s="136" t="str">
        <x:f>IF(R34&lt;=Inputs!$B$13,"PASS","EXCEEDS")</x:f>
        <x:v>PASS</x:v>
      </x:c>
      <x:c r="T34" s="136" t="str">
        <x:f>IF(L34&lt;=Inputs!$B$14,"PASS","EXCEEDS")</x:f>
        <x:v>EXCEEDS</x:v>
      </x:c>
      <x:c r="U34" s="136" t="str">
        <x:v>Sb-equivalent; illustrative</x:v>
      </x:c>
    </x:row>
    <x:row r="35" ht="20" customHeight="1">
      <x:c r="A35" s="136" t="n">
        <x:v>2029</x:v>
      </x:c>
      <x:c r="B35" s="136" t="str">
        <x:v>Inventory-led</x:v>
      </x:c>
      <x:c r="C35" s="136" t="str">
        <x:v>Base</x:v>
      </x:c>
      <x:c r="D35" s="136" t="n">
        <x:f>Inputs!$B$6</x:f>
        <x:v>100</x:v>
      </x:c>
      <x:c r="E35" s="136" t="n">
        <x:f>Options!$D$8*Ramp!$B$8</x:f>
        <x:v>0</x:v>
      </x:c>
      <x:c r="F35" s="136" t="n">
        <x:f>Options!$C$8</x:f>
        <x:v>0.25</x:v>
      </x:c>
      <x:c r="G35" s="136" t="n">
        <x:f>1-E35-F35</x:f>
        <x:v>0.75</x:v>
      </x:c>
      <x:c r="H35" s="136" t="n">
        <x:f>D35*Scenarios!$B$6/12*(G35*Scenarios!$C$6+F35*Scenarios!$D$6+E35*Scenarios!$E$6)</x:f>
        <x:v>0</x:v>
      </x:c>
      <x:c r="I35" s="136" t="n">
        <x:f>D35*Options!$E$8/12</x:f>
        <x:v>75</x:v>
      </x:c>
      <x:c r="J35" s="136" t="n">
        <x:f>MIN(H35,I35)</x:f>
        <x:v>0</x:v>
      </x:c>
      <x:c r="K35" s="136" t="n">
        <x:f>MAX(0,H35-J35)*Scenarios!$F$6</x:f>
        <x:v>0</x:v>
      </x:c>
      <x:c r="L35" s="136" t="n">
        <x:f>MAX(0,H35-J35-K35)</x:f>
        <x:v>0</x:v>
      </x:c>
      <x:c r="M35" s="136" t="n">
        <x:f>IF(D35&gt;0,1-L35/D35,0)</x:f>
        <x:v>1</x:v>
      </x:c>
      <x:c r="N35" s="136" t="n">
        <x:f>D35*Inputs!$B$8*(F35*Inputs!$B$9+E35*Inputs!$B$10)</x:f>
        <x:v>206683.37079843748</x:v>
      </x:c>
      <x:c r="O35" s="136" t="n">
        <x:f>I35*Inputs!$B$8*Inputs!$B$11</x:f>
        <x:v>496040.08991624997</x:v>
      </x:c>
      <x:c r="P35" s="136" t="n">
        <x:f>K35*Inputs!$B$8*Scenarios!$G$6</x:f>
        <x:v>0</x:v>
      </x:c>
      <x:c r="Q35" s="136" t="n">
        <x:f>SUM(N35:P35)</x:f>
        <x:v>702723.4607146875</x:v>
      </x:c>
      <x:c r="R35" s="136" t="n">
        <x:f>I35*Inputs!$B$8</x:f>
        <x:v>4133667.41596875</x:v>
      </x:c>
      <x:c r="S35" s="136" t="str">
        <x:f>IF(R35&lt;=Inputs!$B$13,"PASS","EXCEEDS")</x:f>
        <x:v>EXCEEDS</x:v>
      </x:c>
      <x:c r="T35" s="136" t="str">
        <x:f>IF(L35&lt;=Inputs!$B$14,"PASS","EXCEEDS")</x:f>
        <x:v>PASS</x:v>
      </x:c>
      <x:c r="U35" s="136" t="str">
        <x:v>Sb-equivalent; illustrative</x:v>
      </x:c>
    </x:row>
    <x:row r="36" ht="20" customHeight="1">
      <x:c r="A36" s="136" t="n">
        <x:v>2029</x:v>
      </x:c>
      <x:c r="B36" s="136" t="str">
        <x:v>Inventory-led</x:v>
      </x:c>
      <x:c r="C36" s="136" t="str">
        <x:v>Stress</x:v>
      </x:c>
      <x:c r="D36" s="136" t="n">
        <x:f>Inputs!$B$6</x:f>
        <x:v>100</x:v>
      </x:c>
      <x:c r="E36" s="136" t="n">
        <x:f>Options!$D$8*Ramp!$B$8</x:f>
        <x:v>0</x:v>
      </x:c>
      <x:c r="F36" s="136" t="n">
        <x:f>Options!$C$8</x:f>
        <x:v>0.25</x:v>
      </x:c>
      <x:c r="G36" s="136" t="n">
        <x:f>1-E36-F36</x:f>
        <x:v>0.75</x:v>
      </x:c>
      <x:c r="H36" s="136" t="n">
        <x:f>D36*Scenarios!$B$7/12*(G36*Scenarios!$C$7+F36*Scenarios!$D$7+E36*Scenarios!$E$7)</x:f>
        <x:v>16.666666666666664</x:v>
      </x:c>
      <x:c r="I36" s="136" t="n">
        <x:f>D36*Options!$E$8/12</x:f>
        <x:v>75</x:v>
      </x:c>
      <x:c r="J36" s="136" t="n">
        <x:f>MIN(H36,I36)</x:f>
        <x:v>16.666666666666664</x:v>
      </x:c>
      <x:c r="K36" s="136" t="n">
        <x:f>MAX(0,H36-J36)*Scenarios!$F$7</x:f>
        <x:v>0</x:v>
      </x:c>
      <x:c r="L36" s="136" t="n">
        <x:f>MAX(0,H36-J36-K36)</x:f>
        <x:v>0</x:v>
      </x:c>
      <x:c r="M36" s="136" t="n">
        <x:f>IF(D36&gt;0,1-L36/D36,0)</x:f>
        <x:v>1</x:v>
      </x:c>
      <x:c r="N36" s="136" t="n">
        <x:f>D36*Inputs!$B$8*(F36*Inputs!$B$9+E36*Inputs!$B$10)</x:f>
        <x:v>206683.37079843748</x:v>
      </x:c>
      <x:c r="O36" s="136" t="n">
        <x:f>I36*Inputs!$B$8*Inputs!$B$11</x:f>
        <x:v>496040.08991624997</x:v>
      </x:c>
      <x:c r="P36" s="136" t="n">
        <x:f>K36*Inputs!$B$8*Scenarios!$G$7</x:f>
        <x:v>0</x:v>
      </x:c>
      <x:c r="Q36" s="136" t="n">
        <x:f>SUM(N36:P36)</x:f>
        <x:v>702723.4607146875</x:v>
      </x:c>
      <x:c r="R36" s="136" t="n">
        <x:f>I36*Inputs!$B$8</x:f>
        <x:v>4133667.41596875</x:v>
      </x:c>
      <x:c r="S36" s="136" t="str">
        <x:f>IF(R36&lt;=Inputs!$B$13,"PASS","EXCEEDS")</x:f>
        <x:v>EXCEEDS</x:v>
      </x:c>
      <x:c r="T36" s="136" t="str">
        <x:f>IF(L36&lt;=Inputs!$B$14,"PASS","EXCEEDS")</x:f>
        <x:v>PASS</x:v>
      </x:c>
      <x:c r="U36" s="136" t="str">
        <x:v>Sb-equivalent; illustrative</x:v>
      </x:c>
    </x:row>
    <x:row r="37" ht="20" customHeight="1">
      <x:c r="A37" s="161" t="n">
        <x:v>2029</x:v>
      </x:c>
      <x:c r="B37" s="161" t="str">
        <x:v>Inventory-led</x:v>
      </x:c>
      <x:c r="C37" s="161" t="str">
        <x:v>Severe</x:v>
      </x:c>
      <x:c r="D37" s="136" t="n">
        <x:f>Inputs!$B$6</x:f>
        <x:v>100</x:v>
      </x:c>
      <x:c r="E37" s="136" t="n">
        <x:f>Options!$D$8*Ramp!$B$8</x:f>
        <x:v>0</x:v>
      </x:c>
      <x:c r="F37" s="136" t="n">
        <x:f>Options!$C$8</x:f>
        <x:v>0.25</x:v>
      </x:c>
      <x:c r="G37" s="136" t="n">
        <x:f>1-E37-F37</x:f>
        <x:v>0.75</x:v>
      </x:c>
      <x:c r="H37" s="136" t="n">
        <x:f>D37*Scenarios!$B$8/12*(G37*Scenarios!$C$8+F37*Scenarios!$D$8+E37*Scenarios!$E$8)</x:f>
        <x:v>52.50000000000001</x:v>
      </x:c>
      <x:c r="I37" s="136" t="n">
        <x:f>D37*Options!$E$8/12</x:f>
        <x:v>75</x:v>
      </x:c>
      <x:c r="J37" s="136" t="n">
        <x:f>MIN(H37,I37)</x:f>
        <x:v>52.50000000000001</x:v>
      </x:c>
      <x:c r="K37" s="136" t="n">
        <x:f>MAX(0,H37-J37)*Scenarios!$F$8</x:f>
        <x:v>0</x:v>
      </x:c>
      <x:c r="L37" s="136" t="n">
        <x:f>MAX(0,H37-J37-K37)</x:f>
        <x:v>0</x:v>
      </x:c>
      <x:c r="M37" s="136" t="n">
        <x:f>IF(D37&gt;0,1-L37/D37,0)</x:f>
        <x:v>1</x:v>
      </x:c>
      <x:c r="N37" s="136" t="n">
        <x:f>D37*Inputs!$B$8*(F37*Inputs!$B$9+E37*Inputs!$B$10)</x:f>
        <x:v>206683.37079843748</x:v>
      </x:c>
      <x:c r="O37" s="136" t="n">
        <x:f>I37*Inputs!$B$8*Inputs!$B$11</x:f>
        <x:v>496040.08991624997</x:v>
      </x:c>
      <x:c r="P37" s="136" t="n">
        <x:f>K37*Inputs!$B$8*Scenarios!$G$8</x:f>
        <x:v>0</x:v>
      </x:c>
      <x:c r="Q37" s="136" t="n">
        <x:f>SUM(N37:P37)</x:f>
        <x:v>702723.4607146875</x:v>
      </x:c>
      <x:c r="R37" s="136" t="n">
        <x:f>I37*Inputs!$B$8</x:f>
        <x:v>4133667.41596875</x:v>
      </x:c>
      <x:c r="S37" s="136" t="str">
        <x:f>IF(R37&lt;=Inputs!$B$13,"PASS","EXCEEDS")</x:f>
        <x:v>EXCEEDS</x:v>
      </x:c>
      <x:c r="T37" s="136" t="str">
        <x:f>IF(L37&lt;=Inputs!$B$14,"PASS","EXCEEDS")</x:f>
        <x:v>PASS</x:v>
      </x:c>
      <x:c r="U37" s="136" t="str">
        <x:v>Sb-equivalent; illustrative</x:v>
      </x:c>
    </x:row>
    <x:row r="38" ht="20" customHeight="1">
      <x:c r="A38" s="136" t="n">
        <x:v>2029</x:v>
      </x:c>
      <x:c r="B38" s="136" t="str">
        <x:v>Balanced</x:v>
      </x:c>
      <x:c r="C38" s="136" t="str">
        <x:v>Base</x:v>
      </x:c>
      <x:c r="D38" s="136" t="n">
        <x:f>Inputs!$B$6</x:f>
        <x:v>100</x:v>
      </x:c>
      <x:c r="E38" s="136" t="n">
        <x:f>Options!$D$9*Ramp!$B$8</x:f>
        <x:v>0</x:v>
      </x:c>
      <x:c r="F38" s="136" t="n">
        <x:f>Options!$C$9</x:f>
        <x:v>0.45</x:v>
      </x:c>
      <x:c r="G38" s="136" t="n">
        <x:f>1-E38-F38</x:f>
        <x:v>0.55</x:v>
      </x:c>
      <x:c r="H38" s="136" t="n">
        <x:f>D38*Scenarios!$B$6/12*(G38*Scenarios!$C$6+F38*Scenarios!$D$6+E38*Scenarios!$E$6)</x:f>
        <x:v>0</x:v>
      </x:c>
      <x:c r="I38" s="136" t="n">
        <x:f>D38*Options!$E$9/12</x:f>
        <x:v>41.666666666666664</x:v>
      </x:c>
      <x:c r="J38" s="136" t="n">
        <x:f>MIN(H38,I38)</x:f>
        <x:v>0</x:v>
      </x:c>
      <x:c r="K38" s="136" t="n">
        <x:f>MAX(0,H38-J38)*Scenarios!$F$6</x:f>
        <x:v>0</x:v>
      </x:c>
      <x:c r="L38" s="136" t="n">
        <x:f>MAX(0,H38-J38-K38)</x:f>
        <x:v>0</x:v>
      </x:c>
      <x:c r="M38" s="136" t="n">
        <x:f>IF(D38&gt;0,1-L38/D38,0)</x:f>
        <x:v>1</x:v>
      </x:c>
      <x:c r="N38" s="136" t="n">
        <x:f>D38*Inputs!$B$8*(F38*Inputs!$B$9+E38*Inputs!$B$10)</x:f>
        <x:v>372030.06743718754</x:v>
      </x:c>
      <x:c r="O38" s="136" t="n">
        <x:f>I38*Inputs!$B$8*Inputs!$B$11</x:f>
        <x:v>275577.82773124997</x:v>
      </x:c>
      <x:c r="P38" s="136" t="n">
        <x:f>K38*Inputs!$B$8*Scenarios!$G$6</x:f>
        <x:v>0</x:v>
      </x:c>
      <x:c r="Q38" s="136" t="n">
        <x:f>SUM(N38:P38)</x:f>
        <x:v>647607.8951684375</x:v>
      </x:c>
      <x:c r="R38" s="136" t="n">
        <x:f>I38*Inputs!$B$8</x:f>
        <x:v>2296481.8977604164</x:v>
      </x:c>
      <x:c r="S38" s="136" t="str">
        <x:f>IF(R38&lt;=Inputs!$B$13,"PASS","EXCEEDS")</x:f>
        <x:v>PASS</x:v>
      </x:c>
      <x:c r="T38" s="136" t="str">
        <x:f>IF(L38&lt;=Inputs!$B$14,"PASS","EXCEEDS")</x:f>
        <x:v>PASS</x:v>
      </x:c>
      <x:c r="U38" s="136" t="str">
        <x:v>Sb-equivalent; illustrative</x:v>
      </x:c>
    </x:row>
    <x:row r="39" ht="20" customHeight="1">
      <x:c r="A39" s="136" t="n">
        <x:v>2029</x:v>
      </x:c>
      <x:c r="B39" s="136" t="str">
        <x:v>Balanced</x:v>
      </x:c>
      <x:c r="C39" s="136" t="str">
        <x:v>Stress</x:v>
      </x:c>
      <x:c r="D39" s="136" t="n">
        <x:f>Inputs!$B$6</x:f>
        <x:v>100</x:v>
      </x:c>
      <x:c r="E39" s="136" t="n">
        <x:f>Options!$D$9*Ramp!$B$8</x:f>
        <x:v>0</x:v>
      </x:c>
      <x:c r="F39" s="136" t="n">
        <x:f>Options!$C$9</x:f>
        <x:v>0.45</x:v>
      </x:c>
      <x:c r="G39" s="136" t="n">
        <x:f>1-E39-F39</x:f>
        <x:v>0.55</x:v>
      </x:c>
      <x:c r="H39" s="136" t="n">
        <x:f>D39*Scenarios!$B$7/12*(G39*Scenarios!$C$7+F39*Scenarios!$D$7+E39*Scenarios!$E$7)</x:f>
        <x:v>14.000000000000002</x:v>
      </x:c>
      <x:c r="I39" s="136" t="n">
        <x:f>D39*Options!$E$9/12</x:f>
        <x:v>41.666666666666664</x:v>
      </x:c>
      <x:c r="J39" s="136" t="n">
        <x:f>MIN(H39,I39)</x:f>
        <x:v>14.000000000000002</x:v>
      </x:c>
      <x:c r="K39" s="136" t="n">
        <x:f>MAX(0,H39-J39)*Scenarios!$F$7</x:f>
        <x:v>0</x:v>
      </x:c>
      <x:c r="L39" s="136" t="n">
        <x:f>MAX(0,H39-J39-K39)</x:f>
        <x:v>0</x:v>
      </x:c>
      <x:c r="M39" s="136" t="n">
        <x:f>IF(D39&gt;0,1-L39/D39,0)</x:f>
        <x:v>1</x:v>
      </x:c>
      <x:c r="N39" s="136" t="n">
        <x:f>D39*Inputs!$B$8*(F39*Inputs!$B$9+E39*Inputs!$B$10)</x:f>
        <x:v>372030.06743718754</x:v>
      </x:c>
      <x:c r="O39" s="136" t="n">
        <x:f>I39*Inputs!$B$8*Inputs!$B$11</x:f>
        <x:v>275577.82773124997</x:v>
      </x:c>
      <x:c r="P39" s="136" t="n">
        <x:f>K39*Inputs!$B$8*Scenarios!$G$7</x:f>
        <x:v>0</x:v>
      </x:c>
      <x:c r="Q39" s="136" t="n">
        <x:f>SUM(N39:P39)</x:f>
        <x:v>647607.8951684375</x:v>
      </x:c>
      <x:c r="R39" s="136" t="n">
        <x:f>I39*Inputs!$B$8</x:f>
        <x:v>2296481.8977604164</x:v>
      </x:c>
      <x:c r="S39" s="136" t="str">
        <x:f>IF(R39&lt;=Inputs!$B$13,"PASS","EXCEEDS")</x:f>
        <x:v>PASS</x:v>
      </x:c>
      <x:c r="T39" s="136" t="str">
        <x:f>IF(L39&lt;=Inputs!$B$14,"PASS","EXCEEDS")</x:f>
        <x:v>PASS</x:v>
      </x:c>
      <x:c r="U39" s="136" t="str">
        <x:v>Sb-equivalent; illustrative</x:v>
      </x:c>
    </x:row>
    <x:row r="40" ht="20" customHeight="1">
      <x:c r="A40" s="161" t="n">
        <x:v>2029</x:v>
      </x:c>
      <x:c r="B40" s="161" t="str">
        <x:v>Balanced</x:v>
      </x:c>
      <x:c r="C40" s="161" t="str">
        <x:v>Severe</x:v>
      </x:c>
      <x:c r="D40" s="136" t="n">
        <x:f>Inputs!$B$6</x:f>
        <x:v>100</x:v>
      </x:c>
      <x:c r="E40" s="136" t="n">
        <x:f>Options!$D$9*Ramp!$B$8</x:f>
        <x:v>0</x:v>
      </x:c>
      <x:c r="F40" s="136" t="n">
        <x:f>Options!$C$9</x:f>
        <x:v>0.45</x:v>
      </x:c>
      <x:c r="G40" s="136" t="n">
        <x:f>1-E40-F40</x:f>
        <x:v>0.55</x:v>
      </x:c>
      <x:c r="H40" s="136" t="n">
        <x:f>D40*Scenarios!$B$8/12*(G40*Scenarios!$C$8+F40*Scenarios!$D$8+E40*Scenarios!$E$8)</x:f>
        <x:v>46.50000000000001</x:v>
      </x:c>
      <x:c r="I40" s="136" t="n">
        <x:f>D40*Options!$E$9/12</x:f>
        <x:v>41.666666666666664</x:v>
      </x:c>
      <x:c r="J40" s="136" t="n">
        <x:f>MIN(H40,I40)</x:f>
        <x:v>41.666666666666664</x:v>
      </x:c>
      <x:c r="K40" s="136" t="n">
        <x:f>MAX(0,H40-J40)*Scenarios!$F$8</x:f>
        <x:v>0.4833333333333343</x:v>
      </x:c>
      <x:c r="L40" s="136" t="n">
        <x:f>MAX(0,H40-J40-K40)</x:f>
        <x:v>4.3500000000000085</x:v>
      </x:c>
      <x:c r="M40" s="136" t="n">
        <x:f>IF(D40&gt;0,1-L40/D40,0)</x:f>
        <x:v>0.9564999999999999</x:v>
      </x:c>
      <x:c r="N40" s="136" t="n">
        <x:f>D40*Inputs!$B$8*(F40*Inputs!$B$9+E40*Inputs!$B$10)</x:f>
        <x:v>372030.06743718754</x:v>
      </x:c>
      <x:c r="O40" s="136" t="n">
        <x:f>I40*Inputs!$B$8*Inputs!$B$11</x:f>
        <x:v>275577.82773124997</x:v>
      </x:c>
      <x:c r="P40" s="136" t="n">
        <x:f>K40*Inputs!$B$8*Scenarios!$G$8</x:f>
        <x:v>39958.785021031326</x:v>
      </x:c>
      <x:c r="Q40" s="136" t="n">
        <x:f>SUM(N40:P40)</x:f>
        <x:v>687566.6801894688</x:v>
      </x:c>
      <x:c r="R40" s="136" t="n">
        <x:f>I40*Inputs!$B$8</x:f>
        <x:v>2296481.8977604164</x:v>
      </x:c>
      <x:c r="S40" s="136" t="str">
        <x:f>IF(R40&lt;=Inputs!$B$13,"PASS","EXCEEDS")</x:f>
        <x:v>PASS</x:v>
      </x:c>
      <x:c r="T40" s="136" t="str">
        <x:f>IF(L40&lt;=Inputs!$B$14,"PASS","EXCEEDS")</x:f>
        <x:v>PASS</x:v>
      </x:c>
      <x:c r="U40" s="136" t="str">
        <x:v>Sb-equivalent; illustrative</x:v>
      </x:c>
    </x:row>
    <x:row r="41" ht="20" customHeight="1">
      <x:c r="A41" s="136" t="n">
        <x:v>2030</x:v>
      </x:c>
      <x:c r="B41" s="136" t="str">
        <x:v>Domestic-led</x:v>
      </x:c>
      <x:c r="C41" s="136" t="str">
        <x:v>Base</x:v>
      </x:c>
      <x:c r="D41" s="136" t="n">
        <x:f>Inputs!$B$6</x:f>
        <x:v>100</x:v>
      </x:c>
      <x:c r="E41" s="136" t="n">
        <x:f>Options!$D$6*Ramp!$B$9</x:f>
        <x:v>0.225</x:v>
      </x:c>
      <x:c r="F41" s="136" t="n">
        <x:f>Options!$C$6</x:f>
        <x:v>0.25</x:v>
      </x:c>
      <x:c r="G41" s="136" t="n">
        <x:f>1-E41-F41</x:f>
        <x:v>0.525</x:v>
      </x:c>
      <x:c r="H41" s="136" t="n">
        <x:f>D41*Scenarios!$B$6/12*(G41*Scenarios!$C$6+F41*Scenarios!$D$6+E41*Scenarios!$E$6)</x:f>
        <x:v>0</x:v>
      </x:c>
      <x:c r="I41" s="136" t="n">
        <x:f>D41*Options!$E$6/12</x:f>
        <x:v>16.666666666666668</x:v>
      </x:c>
      <x:c r="J41" s="136" t="n">
        <x:f>MIN(H41,I41)</x:f>
        <x:v>0</x:v>
      </x:c>
      <x:c r="K41" s="136" t="n">
        <x:f>MAX(0,H41-J41)*Scenarios!$F$6</x:f>
        <x:v>0</x:v>
      </x:c>
      <x:c r="L41" s="136" t="n">
        <x:f>MAX(0,H41-J41-K41)</x:f>
        <x:v>0</x:v>
      </x:c>
      <x:c r="M41" s="136" t="n">
        <x:f>IF(D41&gt;0,1-L41/D41,0)</x:f>
        <x:v>1</x:v>
      </x:c>
      <x:c r="N41" s="136" t="n">
        <x:f>D41*Inputs!$B$8*(F41*Inputs!$B$9+E41*Inputs!$B$10)</x:f>
        <x:v>454703.4157565625</x:v>
      </x:c>
      <x:c r="O41" s="136" t="n">
        <x:f>I41*Inputs!$B$8*Inputs!$B$11</x:f>
        <x:v>110231.13109250001</x:v>
      </x:c>
      <x:c r="P41" s="136" t="n">
        <x:f>K41*Inputs!$B$8*Scenarios!$G$6</x:f>
        <x:v>0</x:v>
      </x:c>
      <x:c r="Q41" s="136" t="n">
        <x:f>SUM(N41:P41)</x:f>
        <x:v>564934.5468490625</x:v>
      </x:c>
      <x:c r="R41" s="136" t="n">
        <x:f>I41*Inputs!$B$8</x:f>
        <x:v>918592.7591041668</x:v>
      </x:c>
      <x:c r="S41" s="136" t="str">
        <x:f>IF(R41&lt;=Inputs!$B$13,"PASS","EXCEEDS")</x:f>
        <x:v>PASS</x:v>
      </x:c>
      <x:c r="T41" s="136" t="str">
        <x:f>IF(L41&lt;=Inputs!$B$14,"PASS","EXCEEDS")</x:f>
        <x:v>PASS</x:v>
      </x:c>
      <x:c r="U41" s="136" t="str">
        <x:v>Sb-equivalent; illustrative</x:v>
      </x:c>
    </x:row>
    <x:row r="42" ht="20" customHeight="1">
      <x:c r="A42" s="136" t="n">
        <x:v>2030</x:v>
      </x:c>
      <x:c r="B42" s="136" t="str">
        <x:v>Domestic-led</x:v>
      </x:c>
      <x:c r="C42" s="136" t="str">
        <x:v>Stress</x:v>
      </x:c>
      <x:c r="D42" s="136" t="n">
        <x:f>Inputs!$B$6</x:f>
        <x:v>100</x:v>
      </x:c>
      <x:c r="E42" s="136" t="n">
        <x:f>Options!$D$6*Ramp!$B$9</x:f>
        <x:v>0.225</x:v>
      </x:c>
      <x:c r="F42" s="136" t="n">
        <x:f>Options!$C$6</x:f>
        <x:v>0.25</x:v>
      </x:c>
      <x:c r="G42" s="136" t="n">
        <x:f>1-E42-F42</x:f>
        <x:v>0.525</x:v>
      </x:c>
      <x:c r="H42" s="136" t="n">
        <x:f>D42*Scenarios!$B$7/12*(G42*Scenarios!$C$7+F42*Scenarios!$D$7+E42*Scenarios!$E$7)</x:f>
        <x:v>12.541666666666666</x:v>
      </x:c>
      <x:c r="I42" s="136" t="n">
        <x:f>D42*Options!$E$6/12</x:f>
        <x:v>16.666666666666668</x:v>
      </x:c>
      <x:c r="J42" s="136" t="n">
        <x:f>MIN(H42,I42)</x:f>
        <x:v>12.541666666666666</x:v>
      </x:c>
      <x:c r="K42" s="136" t="n">
        <x:f>MAX(0,H42-J42)*Scenarios!$F$7</x:f>
        <x:v>0</x:v>
      </x:c>
      <x:c r="L42" s="136" t="n">
        <x:f>MAX(0,H42-J42-K42)</x:f>
        <x:v>0</x:v>
      </x:c>
      <x:c r="M42" s="136" t="n">
        <x:f>IF(D42&gt;0,1-L42/D42,0)</x:f>
        <x:v>1</x:v>
      </x:c>
      <x:c r="N42" s="136" t="n">
        <x:f>D42*Inputs!$B$8*(F42*Inputs!$B$9+E42*Inputs!$B$10)</x:f>
        <x:v>454703.4157565625</x:v>
      </x:c>
      <x:c r="O42" s="136" t="n">
        <x:f>I42*Inputs!$B$8*Inputs!$B$11</x:f>
        <x:v>110231.13109250001</x:v>
      </x:c>
      <x:c r="P42" s="136" t="n">
        <x:f>K42*Inputs!$B$8*Scenarios!$G$7</x:f>
        <x:v>0</x:v>
      </x:c>
      <x:c r="Q42" s="136" t="n">
        <x:f>SUM(N42:P42)</x:f>
        <x:v>564934.5468490625</x:v>
      </x:c>
      <x:c r="R42" s="136" t="n">
        <x:f>I42*Inputs!$B$8</x:f>
        <x:v>918592.7591041668</x:v>
      </x:c>
      <x:c r="S42" s="136" t="str">
        <x:f>IF(R42&lt;=Inputs!$B$13,"PASS","EXCEEDS")</x:f>
        <x:v>PASS</x:v>
      </x:c>
      <x:c r="T42" s="136" t="str">
        <x:f>IF(L42&lt;=Inputs!$B$14,"PASS","EXCEEDS")</x:f>
        <x:v>PASS</x:v>
      </x:c>
      <x:c r="U42" s="136" t="str">
        <x:v>Sb-equivalent; illustrative</x:v>
      </x:c>
    </x:row>
    <x:row r="43" ht="20" customHeight="1">
      <x:c r="A43" s="161" t="n">
        <x:v>2030</x:v>
      </x:c>
      <x:c r="B43" s="161" t="str">
        <x:v>Domestic-led</x:v>
      </x:c>
      <x:c r="C43" s="161" t="str">
        <x:v>Severe</x:v>
      </x:c>
      <x:c r="D43" s="136" t="n">
        <x:f>Inputs!$B$6</x:f>
        <x:v>100</x:v>
      </x:c>
      <x:c r="E43" s="136" t="n">
        <x:f>Options!$D$6*Ramp!$B$9</x:f>
        <x:v>0.225</x:v>
      </x:c>
      <x:c r="F43" s="136" t="n">
        <x:f>Options!$C$6</x:f>
        <x:v>0.25</x:v>
      </x:c>
      <x:c r="G43" s="136" t="n">
        <x:f>1-E43-F43</x:f>
        <x:v>0.525</x:v>
      </x:c>
      <x:c r="H43" s="136" t="n">
        <x:f>D43*Scenarios!$B$8/12*(G43*Scenarios!$C$8+F43*Scenarios!$D$8+E43*Scenarios!$E$8)</x:f>
        <x:v>41.250000000000014</x:v>
      </x:c>
      <x:c r="I43" s="136" t="n">
        <x:f>D43*Options!$E$6/12</x:f>
        <x:v>16.666666666666668</x:v>
      </x:c>
      <x:c r="J43" s="136" t="n">
        <x:f>MIN(H43,I43)</x:f>
        <x:v>16.666666666666668</x:v>
      </x:c>
      <x:c r="K43" s="136" t="n">
        <x:f>MAX(0,H43-J43)*Scenarios!$F$8</x:f>
        <x:v>2.458333333333335</x:v>
      </x:c>
      <x:c r="L43" s="136" t="n">
        <x:f>MAX(0,H43-J43-K43)</x:f>
        <x:v>22.12500000000001</x:v>
      </x:c>
      <x:c r="M43" s="136" t="n">
        <x:f>IF(D43&gt;0,1-L43/D43,0)</x:f>
        <x:v>0.7787499999999998</x:v>
      </x:c>
      <x:c r="N43" s="136" t="n">
        <x:f>D43*Inputs!$B$8*(F43*Inputs!$B$9+E43*Inputs!$B$10)</x:f>
        <x:v>454703.4157565625</x:v>
      </x:c>
      <x:c r="O43" s="136" t="n">
        <x:f>I43*Inputs!$B$8*Inputs!$B$11</x:f>
        <x:v>110231.13109250001</x:v>
      </x:c>
      <x:c r="P43" s="136" t="n">
        <x:f>K43*Inputs!$B$8*Scenarios!$G$8</x:f>
        <x:v>203238.647951797</x:v>
      </x:c>
      <x:c r="Q43" s="136" t="n">
        <x:f>SUM(N43:P43)</x:f>
        <x:v>768173.1948008596</x:v>
      </x:c>
      <x:c r="R43" s="136" t="n">
        <x:f>I43*Inputs!$B$8</x:f>
        <x:v>918592.7591041668</x:v>
      </x:c>
      <x:c r="S43" s="136" t="str">
        <x:f>IF(R43&lt;=Inputs!$B$13,"PASS","EXCEEDS")</x:f>
        <x:v>PASS</x:v>
      </x:c>
      <x:c r="T43" s="136" t="str">
        <x:f>IF(L43&lt;=Inputs!$B$14,"PASS","EXCEEDS")</x:f>
        <x:v>EXCEEDS</x:v>
      </x:c>
      <x:c r="U43" s="136" t="str">
        <x:v>Sb-equivalent; illustrative</x:v>
      </x:c>
    </x:row>
    <x:row r="44" ht="20" customHeight="1">
      <x:c r="A44" s="136" t="n">
        <x:v>2030</x:v>
      </x:c>
      <x:c r="B44" s="136" t="str">
        <x:v>Diversification-led</x:v>
      </x:c>
      <x:c r="C44" s="136" t="str">
        <x:v>Base</x:v>
      </x:c>
      <x:c r="D44" s="136" t="n">
        <x:f>Inputs!$B$6</x:f>
        <x:v>100</x:v>
      </x:c>
      <x:c r="E44" s="136" t="n">
        <x:f>Options!$D$7*Ramp!$B$9</x:f>
        <x:v>0</x:v>
      </x:c>
      <x:c r="F44" s="136" t="n">
        <x:f>Options!$C$7</x:f>
        <x:v>0.55</x:v>
      </x:c>
      <x:c r="G44" s="136" t="n">
        <x:f>1-E44-F44</x:f>
        <x:v>0.44999999999999996</x:v>
      </x:c>
      <x:c r="H44" s="136" t="n">
        <x:f>D44*Scenarios!$B$6/12*(G44*Scenarios!$C$6+F44*Scenarios!$D$6+E44*Scenarios!$E$6)</x:f>
        <x:v>0</x:v>
      </x:c>
      <x:c r="I44" s="136" t="n">
        <x:f>D44*Options!$E$7/12</x:f>
        <x:v>25</x:v>
      </x:c>
      <x:c r="J44" s="136" t="n">
        <x:f>MIN(H44,I44)</x:f>
        <x:v>0</x:v>
      </x:c>
      <x:c r="K44" s="136" t="n">
        <x:f>MAX(0,H44-J44)*Scenarios!$F$6</x:f>
        <x:v>0</x:v>
      </x:c>
      <x:c r="L44" s="136" t="n">
        <x:f>MAX(0,H44-J44-K44)</x:f>
        <x:v>0</x:v>
      </x:c>
      <x:c r="M44" s="136" t="n">
        <x:f>IF(D44&gt;0,1-L44/D44,0)</x:f>
        <x:v>1</x:v>
      </x:c>
      <x:c r="N44" s="136" t="n">
        <x:f>D44*Inputs!$B$8*(F44*Inputs!$B$9+E44*Inputs!$B$10)</x:f>
        <x:v>454703.4157565625</x:v>
      </x:c>
      <x:c r="O44" s="136" t="n">
        <x:f>I44*Inputs!$B$8*Inputs!$B$11</x:f>
        <x:v>165346.69663875</x:v>
      </x:c>
      <x:c r="P44" s="136" t="n">
        <x:f>K44*Inputs!$B$8*Scenarios!$G$6</x:f>
        <x:v>0</x:v>
      </x:c>
      <x:c r="Q44" s="136" t="n">
        <x:f>SUM(N44:P44)</x:f>
        <x:v>620050.1123953125</x:v>
      </x:c>
      <x:c r="R44" s="136" t="n">
        <x:f>I44*Inputs!$B$8</x:f>
        <x:v>1377889.13865625</x:v>
      </x:c>
      <x:c r="S44" s="136" t="str">
        <x:f>IF(R44&lt;=Inputs!$B$13,"PASS","EXCEEDS")</x:f>
        <x:v>PASS</x:v>
      </x:c>
      <x:c r="T44" s="136" t="str">
        <x:f>IF(L44&lt;=Inputs!$B$14,"PASS","EXCEEDS")</x:f>
        <x:v>PASS</x:v>
      </x:c>
      <x:c r="U44" s="136" t="str">
        <x:v>Sb-equivalent; illustrative</x:v>
      </x:c>
    </x:row>
    <x:row r="45" ht="20" customHeight="1">
      <x:c r="A45" s="136" t="n">
        <x:v>2030</x:v>
      </x:c>
      <x:c r="B45" s="136" t="str">
        <x:v>Diversification-led</x:v>
      </x:c>
      <x:c r="C45" s="136" t="str">
        <x:v>Stress</x:v>
      </x:c>
      <x:c r="D45" s="136" t="n">
        <x:f>Inputs!$B$6</x:f>
        <x:v>100</x:v>
      </x:c>
      <x:c r="E45" s="136" t="n">
        <x:f>Options!$D$7*Ramp!$B$9</x:f>
        <x:v>0</x:v>
      </x:c>
      <x:c r="F45" s="136" t="n">
        <x:f>Options!$C$7</x:f>
        <x:v>0.55</x:v>
      </x:c>
      <x:c r="G45" s="136" t="n">
        <x:f>1-E45-F45</x:f>
        <x:v>0.44999999999999996</x:v>
      </x:c>
      <x:c r="H45" s="136" t="n">
        <x:f>D45*Scenarios!$B$7/12*(G45*Scenarios!$C$7+F45*Scenarios!$D$7+E45*Scenarios!$E$7)</x:f>
        <x:v>12.666666666666668</x:v>
      </x:c>
      <x:c r="I45" s="136" t="n">
        <x:f>D45*Options!$E$7/12</x:f>
        <x:v>25</x:v>
      </x:c>
      <x:c r="J45" s="136" t="n">
        <x:f>MIN(H45,I45)</x:f>
        <x:v>12.666666666666668</x:v>
      </x:c>
      <x:c r="K45" s="136" t="n">
        <x:f>MAX(0,H45-J45)*Scenarios!$F$7</x:f>
        <x:v>0</x:v>
      </x:c>
      <x:c r="L45" s="136" t="n">
        <x:f>MAX(0,H45-J45-K45)</x:f>
        <x:v>0</x:v>
      </x:c>
      <x:c r="M45" s="136" t="n">
        <x:f>IF(D45&gt;0,1-L45/D45,0)</x:f>
        <x:v>1</x:v>
      </x:c>
      <x:c r="N45" s="136" t="n">
        <x:f>D45*Inputs!$B$8*(F45*Inputs!$B$9+E45*Inputs!$B$10)</x:f>
        <x:v>454703.4157565625</x:v>
      </x:c>
      <x:c r="O45" s="136" t="n">
        <x:f>I45*Inputs!$B$8*Inputs!$B$11</x:f>
        <x:v>165346.69663875</x:v>
      </x:c>
      <x:c r="P45" s="136" t="n">
        <x:f>K45*Inputs!$B$8*Scenarios!$G$7</x:f>
        <x:v>0</x:v>
      </x:c>
      <x:c r="Q45" s="136" t="n">
        <x:f>SUM(N45:P45)</x:f>
        <x:v>620050.1123953125</x:v>
      </x:c>
      <x:c r="R45" s="136" t="n">
        <x:f>I45*Inputs!$B$8</x:f>
        <x:v>1377889.13865625</x:v>
      </x:c>
      <x:c r="S45" s="136" t="str">
        <x:f>IF(R45&lt;=Inputs!$B$13,"PASS","EXCEEDS")</x:f>
        <x:v>PASS</x:v>
      </x:c>
      <x:c r="T45" s="136" t="str">
        <x:f>IF(L45&lt;=Inputs!$B$14,"PASS","EXCEEDS")</x:f>
        <x:v>PASS</x:v>
      </x:c>
      <x:c r="U45" s="136" t="str">
        <x:v>Sb-equivalent; illustrative</x:v>
      </x:c>
    </x:row>
    <x:row r="46" ht="20" customHeight="1">
      <x:c r="A46" s="161" t="n">
        <x:v>2030</x:v>
      </x:c>
      <x:c r="B46" s="161" t="str">
        <x:v>Diversification-led</x:v>
      </x:c>
      <x:c r="C46" s="161" t="str">
        <x:v>Severe</x:v>
      </x:c>
      <x:c r="D46" s="136" t="n">
        <x:f>Inputs!$B$6</x:f>
        <x:v>100</x:v>
      </x:c>
      <x:c r="E46" s="136" t="n">
        <x:f>Options!$D$7*Ramp!$B$9</x:f>
        <x:v>0</x:v>
      </x:c>
      <x:c r="F46" s="136" t="n">
        <x:f>Options!$C$7</x:f>
        <x:v>0.55</x:v>
      </x:c>
      <x:c r="G46" s="136" t="n">
        <x:f>1-E46-F46</x:f>
        <x:v>0.44999999999999996</x:v>
      </x:c>
      <x:c r="H46" s="136" t="n">
        <x:f>D46*Scenarios!$B$8/12*(G46*Scenarios!$C$8+F46*Scenarios!$D$8+E46*Scenarios!$E$8)</x:f>
        <x:v>43.5</x:v>
      </x:c>
      <x:c r="I46" s="136" t="n">
        <x:f>D46*Options!$E$7/12</x:f>
        <x:v>25</x:v>
      </x:c>
      <x:c r="J46" s="136" t="n">
        <x:f>MIN(H46,I46)</x:f>
        <x:v>25</x:v>
      </x:c>
      <x:c r="K46" s="136" t="n">
        <x:f>MAX(0,H46-J46)*Scenarios!$F$8</x:f>
        <x:v>1.85</x:v>
      </x:c>
      <x:c r="L46" s="136" t="n">
        <x:f>MAX(0,H46-J46-K46)</x:f>
        <x:v>16.65</x:v>
      </x:c>
      <x:c r="M46" s="136" t="n">
        <x:f>IF(D46&gt;0,1-L46/D46,0)</x:f>
        <x:v>0.8335</x:v>
      </x:c>
      <x:c r="N46" s="136" t="n">
        <x:f>D46*Inputs!$B$8*(F46*Inputs!$B$9+E46*Inputs!$B$10)</x:f>
        <x:v>454703.4157565625</x:v>
      </x:c>
      <x:c r="O46" s="136" t="n">
        <x:f>I46*Inputs!$B$8*Inputs!$B$11</x:f>
        <x:v>165346.69663875</x:v>
      </x:c>
      <x:c r="P46" s="136" t="n">
        <x:f>K46*Inputs!$B$8*Scenarios!$G$8</x:f>
        <x:v>152945.69439084377</x:v>
      </x:c>
      <x:c r="Q46" s="136" t="n">
        <x:f>SUM(N46:P46)</x:f>
        <x:v>772995.8067861563</x:v>
      </x:c>
      <x:c r="R46" s="136" t="n">
        <x:f>I46*Inputs!$B$8</x:f>
        <x:v>1377889.13865625</x:v>
      </x:c>
      <x:c r="S46" s="136" t="str">
        <x:f>IF(R46&lt;=Inputs!$B$13,"PASS","EXCEEDS")</x:f>
        <x:v>PASS</x:v>
      </x:c>
      <x:c r="T46" s="136" t="str">
        <x:f>IF(L46&lt;=Inputs!$B$14,"PASS","EXCEEDS")</x:f>
        <x:v>EXCEEDS</x:v>
      </x:c>
      <x:c r="U46" s="136" t="str">
        <x:v>Sb-equivalent; illustrative</x:v>
      </x:c>
    </x:row>
    <x:row r="47" ht="20" customHeight="1">
      <x:c r="A47" s="136" t="n">
        <x:v>2030</x:v>
      </x:c>
      <x:c r="B47" s="136" t="str">
        <x:v>Inventory-led</x:v>
      </x:c>
      <x:c r="C47" s="136" t="str">
        <x:v>Base</x:v>
      </x:c>
      <x:c r="D47" s="136" t="n">
        <x:f>Inputs!$B$6</x:f>
        <x:v>100</x:v>
      </x:c>
      <x:c r="E47" s="136" t="n">
        <x:f>Options!$D$8*Ramp!$B$9</x:f>
        <x:v>0</x:v>
      </x:c>
      <x:c r="F47" s="136" t="n">
        <x:f>Options!$C$8</x:f>
        <x:v>0.25</x:v>
      </x:c>
      <x:c r="G47" s="136" t="n">
        <x:f>1-E47-F47</x:f>
        <x:v>0.75</x:v>
      </x:c>
      <x:c r="H47" s="136" t="n">
        <x:f>D47*Scenarios!$B$6/12*(G47*Scenarios!$C$6+F47*Scenarios!$D$6+E47*Scenarios!$E$6)</x:f>
        <x:v>0</x:v>
      </x:c>
      <x:c r="I47" s="136" t="n">
        <x:f>D47*Options!$E$8/12</x:f>
        <x:v>75</x:v>
      </x:c>
      <x:c r="J47" s="136" t="n">
        <x:f>MIN(H47,I47)</x:f>
        <x:v>0</x:v>
      </x:c>
      <x:c r="K47" s="136" t="n">
        <x:f>MAX(0,H47-J47)*Scenarios!$F$6</x:f>
        <x:v>0</x:v>
      </x:c>
      <x:c r="L47" s="136" t="n">
        <x:f>MAX(0,H47-J47-K47)</x:f>
        <x:v>0</x:v>
      </x:c>
      <x:c r="M47" s="136" t="n">
        <x:f>IF(D47&gt;0,1-L47/D47,0)</x:f>
        <x:v>1</x:v>
      </x:c>
      <x:c r="N47" s="136" t="n">
        <x:f>D47*Inputs!$B$8*(F47*Inputs!$B$9+E47*Inputs!$B$10)</x:f>
        <x:v>206683.37079843748</x:v>
      </x:c>
      <x:c r="O47" s="136" t="n">
        <x:f>I47*Inputs!$B$8*Inputs!$B$11</x:f>
        <x:v>496040.08991624997</x:v>
      </x:c>
      <x:c r="P47" s="136" t="n">
        <x:f>K47*Inputs!$B$8*Scenarios!$G$6</x:f>
        <x:v>0</x:v>
      </x:c>
      <x:c r="Q47" s="136" t="n">
        <x:f>SUM(N47:P47)</x:f>
        <x:v>702723.4607146875</x:v>
      </x:c>
      <x:c r="R47" s="136" t="n">
        <x:f>I47*Inputs!$B$8</x:f>
        <x:v>4133667.41596875</x:v>
      </x:c>
      <x:c r="S47" s="136" t="str">
        <x:f>IF(R47&lt;=Inputs!$B$13,"PASS","EXCEEDS")</x:f>
        <x:v>EXCEEDS</x:v>
      </x:c>
      <x:c r="T47" s="136" t="str">
        <x:f>IF(L47&lt;=Inputs!$B$14,"PASS","EXCEEDS")</x:f>
        <x:v>PASS</x:v>
      </x:c>
      <x:c r="U47" s="136" t="str">
        <x:v>Sb-equivalent; illustrative</x:v>
      </x:c>
    </x:row>
    <x:row r="48" ht="20" customHeight="1">
      <x:c r="A48" s="136" t="n">
        <x:v>2030</x:v>
      </x:c>
      <x:c r="B48" s="136" t="str">
        <x:v>Inventory-led</x:v>
      </x:c>
      <x:c r="C48" s="136" t="str">
        <x:v>Stress</x:v>
      </x:c>
      <x:c r="D48" s="136" t="n">
        <x:f>Inputs!$B$6</x:f>
        <x:v>100</x:v>
      </x:c>
      <x:c r="E48" s="136" t="n">
        <x:f>Options!$D$8*Ramp!$B$9</x:f>
        <x:v>0</x:v>
      </x:c>
      <x:c r="F48" s="136" t="n">
        <x:f>Options!$C$8</x:f>
        <x:v>0.25</x:v>
      </x:c>
      <x:c r="G48" s="136" t="n">
        <x:f>1-E48-F48</x:f>
        <x:v>0.75</x:v>
      </x:c>
      <x:c r="H48" s="136" t="n">
        <x:f>D48*Scenarios!$B$7/12*(G48*Scenarios!$C$7+F48*Scenarios!$D$7+E48*Scenarios!$E$7)</x:f>
        <x:v>16.666666666666664</x:v>
      </x:c>
      <x:c r="I48" s="136" t="n">
        <x:f>D48*Options!$E$8/12</x:f>
        <x:v>75</x:v>
      </x:c>
      <x:c r="J48" s="136" t="n">
        <x:f>MIN(H48,I48)</x:f>
        <x:v>16.666666666666664</x:v>
      </x:c>
      <x:c r="K48" s="136" t="n">
        <x:f>MAX(0,H48-J48)*Scenarios!$F$7</x:f>
        <x:v>0</x:v>
      </x:c>
      <x:c r="L48" s="136" t="n">
        <x:f>MAX(0,H48-J48-K48)</x:f>
        <x:v>0</x:v>
      </x:c>
      <x:c r="M48" s="136" t="n">
        <x:f>IF(D48&gt;0,1-L48/D48,0)</x:f>
        <x:v>1</x:v>
      </x:c>
      <x:c r="N48" s="136" t="n">
        <x:f>D48*Inputs!$B$8*(F48*Inputs!$B$9+E48*Inputs!$B$10)</x:f>
        <x:v>206683.37079843748</x:v>
      </x:c>
      <x:c r="O48" s="136" t="n">
        <x:f>I48*Inputs!$B$8*Inputs!$B$11</x:f>
        <x:v>496040.08991624997</x:v>
      </x:c>
      <x:c r="P48" s="136" t="n">
        <x:f>K48*Inputs!$B$8*Scenarios!$G$7</x:f>
        <x:v>0</x:v>
      </x:c>
      <x:c r="Q48" s="136" t="n">
        <x:f>SUM(N48:P48)</x:f>
        <x:v>702723.4607146875</x:v>
      </x:c>
      <x:c r="R48" s="136" t="n">
        <x:f>I48*Inputs!$B$8</x:f>
        <x:v>4133667.41596875</x:v>
      </x:c>
      <x:c r="S48" s="136" t="str">
        <x:f>IF(R48&lt;=Inputs!$B$13,"PASS","EXCEEDS")</x:f>
        <x:v>EXCEEDS</x:v>
      </x:c>
      <x:c r="T48" s="136" t="str">
        <x:f>IF(L48&lt;=Inputs!$B$14,"PASS","EXCEEDS")</x:f>
        <x:v>PASS</x:v>
      </x:c>
      <x:c r="U48" s="136" t="str">
        <x:v>Sb-equivalent; illustrative</x:v>
      </x:c>
    </x:row>
    <x:row r="49" ht="20" customHeight="1">
      <x:c r="A49" s="161" t="n">
        <x:v>2030</x:v>
      </x:c>
      <x:c r="B49" s="161" t="str">
        <x:v>Inventory-led</x:v>
      </x:c>
      <x:c r="C49" s="161" t="str">
        <x:v>Severe</x:v>
      </x:c>
      <x:c r="D49" s="136" t="n">
        <x:f>Inputs!$B$6</x:f>
        <x:v>100</x:v>
      </x:c>
      <x:c r="E49" s="136" t="n">
        <x:f>Options!$D$8*Ramp!$B$9</x:f>
        <x:v>0</x:v>
      </x:c>
      <x:c r="F49" s="136" t="n">
        <x:f>Options!$C$8</x:f>
        <x:v>0.25</x:v>
      </x:c>
      <x:c r="G49" s="136" t="n">
        <x:f>1-E49-F49</x:f>
        <x:v>0.75</x:v>
      </x:c>
      <x:c r="H49" s="136" t="n">
        <x:f>D49*Scenarios!$B$8/12*(G49*Scenarios!$C$8+F49*Scenarios!$D$8+E49*Scenarios!$E$8)</x:f>
        <x:v>52.50000000000001</x:v>
      </x:c>
      <x:c r="I49" s="136" t="n">
        <x:f>D49*Options!$E$8/12</x:f>
        <x:v>75</x:v>
      </x:c>
      <x:c r="J49" s="136" t="n">
        <x:f>MIN(H49,I49)</x:f>
        <x:v>52.50000000000001</x:v>
      </x:c>
      <x:c r="K49" s="136" t="n">
        <x:f>MAX(0,H49-J49)*Scenarios!$F$8</x:f>
        <x:v>0</x:v>
      </x:c>
      <x:c r="L49" s="136" t="n">
        <x:f>MAX(0,H49-J49-K49)</x:f>
        <x:v>0</x:v>
      </x:c>
      <x:c r="M49" s="136" t="n">
        <x:f>IF(D49&gt;0,1-L49/D49,0)</x:f>
        <x:v>1</x:v>
      </x:c>
      <x:c r="N49" s="136" t="n">
        <x:f>D49*Inputs!$B$8*(F49*Inputs!$B$9+E49*Inputs!$B$10)</x:f>
        <x:v>206683.37079843748</x:v>
      </x:c>
      <x:c r="O49" s="136" t="n">
        <x:f>I49*Inputs!$B$8*Inputs!$B$11</x:f>
        <x:v>496040.08991624997</x:v>
      </x:c>
      <x:c r="P49" s="136" t="n">
        <x:f>K49*Inputs!$B$8*Scenarios!$G$8</x:f>
        <x:v>0</x:v>
      </x:c>
      <x:c r="Q49" s="136" t="n">
        <x:f>SUM(N49:P49)</x:f>
        <x:v>702723.4607146875</x:v>
      </x:c>
      <x:c r="R49" s="136" t="n">
        <x:f>I49*Inputs!$B$8</x:f>
        <x:v>4133667.41596875</x:v>
      </x:c>
      <x:c r="S49" s="136" t="str">
        <x:f>IF(R49&lt;=Inputs!$B$13,"PASS","EXCEEDS")</x:f>
        <x:v>EXCEEDS</x:v>
      </x:c>
      <x:c r="T49" s="136" t="str">
        <x:f>IF(L49&lt;=Inputs!$B$14,"PASS","EXCEEDS")</x:f>
        <x:v>PASS</x:v>
      </x:c>
      <x:c r="U49" s="136" t="str">
        <x:v>Sb-equivalent; illustrative</x:v>
      </x:c>
    </x:row>
    <x:row r="50" ht="20" customHeight="1">
      <x:c r="A50" s="136" t="n">
        <x:v>2030</x:v>
      </x:c>
      <x:c r="B50" s="136" t="str">
        <x:v>Balanced</x:v>
      </x:c>
      <x:c r="C50" s="136" t="str">
        <x:v>Base</x:v>
      </x:c>
      <x:c r="D50" s="136" t="n">
        <x:f>Inputs!$B$6</x:f>
        <x:v>100</x:v>
      </x:c>
      <x:c r="E50" s="136" t="n">
        <x:f>Options!$D$9*Ramp!$B$9</x:f>
        <x:v>0.15</x:v>
      </x:c>
      <x:c r="F50" s="136" t="n">
        <x:f>Options!$C$9</x:f>
        <x:v>0.45</x:v>
      </x:c>
      <x:c r="G50" s="136" t="n">
        <x:f>1-E50-F50</x:f>
        <x:v>0.39999999999999997</x:v>
      </x:c>
      <x:c r="H50" s="136" t="n">
        <x:f>D50*Scenarios!$B$6/12*(G50*Scenarios!$C$6+F50*Scenarios!$D$6+E50*Scenarios!$E$6)</x:f>
        <x:v>0</x:v>
      </x:c>
      <x:c r="I50" s="136" t="n">
        <x:f>D50*Options!$E$9/12</x:f>
        <x:v>41.666666666666664</x:v>
      </x:c>
      <x:c r="J50" s="136" t="n">
        <x:f>MIN(H50,I50)</x:f>
        <x:v>0</x:v>
      </x:c>
      <x:c r="K50" s="136" t="n">
        <x:f>MAX(0,H50-J50)*Scenarios!$F$6</x:f>
        <x:v>0</x:v>
      </x:c>
      <x:c r="L50" s="136" t="n">
        <x:f>MAX(0,H50-J50-K50)</x:f>
        <x:v>0</x:v>
      </x:c>
      <x:c r="M50" s="136" t="n">
        <x:f>IF(D50&gt;0,1-L50/D50,0)</x:f>
        <x:v>1</x:v>
      </x:c>
      <x:c r="N50" s="136" t="n">
        <x:f>D50*Inputs!$B$8*(F50*Inputs!$B$9+E50*Inputs!$B$10)</x:f>
        <x:v>537376.7640759374</x:v>
      </x:c>
      <x:c r="O50" s="136" t="n">
        <x:f>I50*Inputs!$B$8*Inputs!$B$11</x:f>
        <x:v>275577.82773124997</x:v>
      </x:c>
      <x:c r="P50" s="136" t="n">
        <x:f>K50*Inputs!$B$8*Scenarios!$G$6</x:f>
        <x:v>0</x:v>
      </x:c>
      <x:c r="Q50" s="136" t="n">
        <x:f>SUM(N50:P50)</x:f>
        <x:v>812954.5918071874</x:v>
      </x:c>
      <x:c r="R50" s="136" t="n">
        <x:f>I50*Inputs!$B$8</x:f>
        <x:v>2296481.8977604164</x:v>
      </x:c>
      <x:c r="S50" s="136" t="str">
        <x:f>IF(R50&lt;=Inputs!$B$13,"PASS","EXCEEDS")</x:f>
        <x:v>PASS</x:v>
      </x:c>
      <x:c r="T50" s="136" t="str">
        <x:f>IF(L50&lt;=Inputs!$B$14,"PASS","EXCEEDS")</x:f>
        <x:v>PASS</x:v>
      </x:c>
      <x:c r="U50" s="136" t="str">
        <x:v>Sb-equivalent; illustrative</x:v>
      </x:c>
    </x:row>
    <x:row r="51" ht="20" customHeight="1">
      <x:c r="A51" s="136" t="n">
        <x:v>2030</x:v>
      </x:c>
      <x:c r="B51" s="136" t="str">
        <x:v>Balanced</x:v>
      </x:c>
      <x:c r="C51" s="136" t="str">
        <x:v>Stress</x:v>
      </x:c>
      <x:c r="D51" s="136" t="n">
        <x:f>Inputs!$B$6</x:f>
        <x:v>100</x:v>
      </x:c>
      <x:c r="E51" s="136" t="n">
        <x:f>Options!$D$9*Ramp!$B$9</x:f>
        <x:v>0.15</x:v>
      </x:c>
      <x:c r="F51" s="136" t="n">
        <x:f>Options!$C$9</x:f>
        <x:v>0.45</x:v>
      </x:c>
      <x:c r="G51" s="136" t="n">
        <x:f>1-E51-F51</x:f>
        <x:v>0.39999999999999997</x:v>
      </x:c>
      <x:c r="H51" s="136" t="n">
        <x:f>D51*Scenarios!$B$7/12*(G51*Scenarios!$C$7+F51*Scenarios!$D$7+E51*Scenarios!$E$7)</x:f>
        <x:v>11.25</x:v>
      </x:c>
      <x:c r="I51" s="136" t="n">
        <x:f>D51*Options!$E$9/12</x:f>
        <x:v>41.666666666666664</x:v>
      </x:c>
      <x:c r="J51" s="136" t="n">
        <x:f>MIN(H51,I51)</x:f>
        <x:v>11.25</x:v>
      </x:c>
      <x:c r="K51" s="136" t="n">
        <x:f>MAX(0,H51-J51)*Scenarios!$F$7</x:f>
        <x:v>0</x:v>
      </x:c>
      <x:c r="L51" s="136" t="n">
        <x:f>MAX(0,H51-J51-K51)</x:f>
        <x:v>0</x:v>
      </x:c>
      <x:c r="M51" s="136" t="n">
        <x:f>IF(D51&gt;0,1-L51/D51,0)</x:f>
        <x:v>1</x:v>
      </x:c>
      <x:c r="N51" s="136" t="n">
        <x:f>D51*Inputs!$B$8*(F51*Inputs!$B$9+E51*Inputs!$B$10)</x:f>
        <x:v>537376.7640759374</x:v>
      </x:c>
      <x:c r="O51" s="136" t="n">
        <x:f>I51*Inputs!$B$8*Inputs!$B$11</x:f>
        <x:v>275577.82773124997</x:v>
      </x:c>
      <x:c r="P51" s="136" t="n">
        <x:f>K51*Inputs!$B$8*Scenarios!$G$7</x:f>
        <x:v>0</x:v>
      </x:c>
      <x:c r="Q51" s="136" t="n">
        <x:f>SUM(N51:P51)</x:f>
        <x:v>812954.5918071874</x:v>
      </x:c>
      <x:c r="R51" s="136" t="n">
        <x:f>I51*Inputs!$B$8</x:f>
        <x:v>2296481.8977604164</x:v>
      </x:c>
      <x:c r="S51" s="136" t="str">
        <x:f>IF(R51&lt;=Inputs!$B$13,"PASS","EXCEEDS")</x:f>
        <x:v>PASS</x:v>
      </x:c>
      <x:c r="T51" s="136" t="str">
        <x:f>IF(L51&lt;=Inputs!$B$14,"PASS","EXCEEDS")</x:f>
        <x:v>PASS</x:v>
      </x:c>
      <x:c r="U51" s="136" t="str">
        <x:v>Sb-equivalent; illustrative</x:v>
      </x:c>
    </x:row>
    <x:row r="52" ht="20" customHeight="1">
      <x:c r="A52" s="161" t="n">
        <x:v>2030</x:v>
      </x:c>
      <x:c r="B52" s="161" t="str">
        <x:v>Balanced</x:v>
      </x:c>
      <x:c r="C52" s="161" t="str">
        <x:v>Severe</x:v>
      </x:c>
      <x:c r="D52" s="136" t="n">
        <x:f>Inputs!$B$6</x:f>
        <x:v>100</x:v>
      </x:c>
      <x:c r="E52" s="136" t="n">
        <x:f>Options!$D$9*Ramp!$B$9</x:f>
        <x:v>0.15</x:v>
      </x:c>
      <x:c r="F52" s="136" t="n">
        <x:f>Options!$C$9</x:f>
        <x:v>0.45</x:v>
      </x:c>
      <x:c r="G52" s="136" t="n">
        <x:f>1-E52-F52</x:f>
        <x:v>0.39999999999999997</x:v>
      </x:c>
      <x:c r="H52" s="136" t="n">
        <x:f>D52*Scenarios!$B$8/12*(G52*Scenarios!$C$8+F52*Scenarios!$D$8+E52*Scenarios!$E$8)</x:f>
        <x:v>39</x:v>
      </x:c>
      <x:c r="I52" s="136" t="n">
        <x:f>D52*Options!$E$9/12</x:f>
        <x:v>41.666666666666664</x:v>
      </x:c>
      <x:c r="J52" s="136" t="n">
        <x:f>MIN(H52,I52)</x:f>
        <x:v>39</x:v>
      </x:c>
      <x:c r="K52" s="136" t="n">
        <x:f>MAX(0,H52-J52)*Scenarios!$F$8</x:f>
        <x:v>0</x:v>
      </x:c>
      <x:c r="L52" s="136" t="n">
        <x:f>MAX(0,H52-J52-K52)</x:f>
        <x:v>0</x:v>
      </x:c>
      <x:c r="M52" s="136" t="n">
        <x:f>IF(D52&gt;0,1-L52/D52,0)</x:f>
        <x:v>1</x:v>
      </x:c>
      <x:c r="N52" s="136" t="n">
        <x:f>D52*Inputs!$B$8*(F52*Inputs!$B$9+E52*Inputs!$B$10)</x:f>
        <x:v>537376.7640759374</x:v>
      </x:c>
      <x:c r="O52" s="136" t="n">
        <x:f>I52*Inputs!$B$8*Inputs!$B$11</x:f>
        <x:v>275577.82773124997</x:v>
      </x:c>
      <x:c r="P52" s="136" t="n">
        <x:f>K52*Inputs!$B$8*Scenarios!$G$8</x:f>
        <x:v>0</x:v>
      </x:c>
      <x:c r="Q52" s="136" t="n">
        <x:f>SUM(N52:P52)</x:f>
        <x:v>812954.5918071874</x:v>
      </x:c>
      <x:c r="R52" s="136" t="n">
        <x:f>I52*Inputs!$B$8</x:f>
        <x:v>2296481.8977604164</x:v>
      </x:c>
      <x:c r="S52" s="136" t="str">
        <x:f>IF(R52&lt;=Inputs!$B$13,"PASS","EXCEEDS")</x:f>
        <x:v>PASS</x:v>
      </x:c>
      <x:c r="T52" s="136" t="str">
        <x:f>IF(L52&lt;=Inputs!$B$14,"PASS","EXCEEDS")</x:f>
        <x:v>PASS</x:v>
      </x:c>
      <x:c r="U52" s="136" t="str">
        <x:v>Sb-equivalent; illustrative</x:v>
      </x:c>
    </x:row>
    <x:row r="53" ht="20" customHeight="1">
      <x:c r="A53" s="136" t="n">
        <x:v>2031</x:v>
      </x:c>
      <x:c r="B53" s="136" t="str">
        <x:v>Domestic-led</x:v>
      </x:c>
      <x:c r="C53" s="136" t="str">
        <x:v>Base</x:v>
      </x:c>
      <x:c r="D53" s="136" t="n">
        <x:f>Inputs!$B$6</x:f>
        <x:v>100</x:v>
      </x:c>
      <x:c r="E53" s="136" t="n">
        <x:f>Options!$D$6*Ramp!$B$10</x:f>
        <x:v>0.45</x:v>
      </x:c>
      <x:c r="F53" s="136" t="n">
        <x:f>Options!$C$6</x:f>
        <x:v>0.25</x:v>
      </x:c>
      <x:c r="G53" s="136" t="n">
        <x:f>1-E53-F53</x:f>
        <x:v>0.30000000000000004</x:v>
      </x:c>
      <x:c r="H53" s="136" t="n">
        <x:f>D53*Scenarios!$B$6/12*(G53*Scenarios!$C$6+F53*Scenarios!$D$6+E53*Scenarios!$E$6)</x:f>
        <x:v>0</x:v>
      </x:c>
      <x:c r="I53" s="136" t="n">
        <x:f>D53*Options!$E$6/12</x:f>
        <x:v>16.666666666666668</x:v>
      </x:c>
      <x:c r="J53" s="136" t="n">
        <x:f>MIN(H53,I53)</x:f>
        <x:v>0</x:v>
      </x:c>
      <x:c r="K53" s="136" t="n">
        <x:f>MAX(0,H53-J53)*Scenarios!$F$6</x:f>
        <x:v>0</x:v>
      </x:c>
      <x:c r="L53" s="136" t="n">
        <x:f>MAX(0,H53-J53-K53)</x:f>
        <x:v>0</x:v>
      </x:c>
      <x:c r="M53" s="136" t="n">
        <x:f>IF(D53&gt;0,1-L53/D53,0)</x:f>
        <x:v>1</x:v>
      </x:c>
      <x:c r="N53" s="136" t="n">
        <x:f>D53*Inputs!$B$8*(F53*Inputs!$B$9+E53*Inputs!$B$10)</x:f>
        <x:v>702723.4607146875</x:v>
      </x:c>
      <x:c r="O53" s="136" t="n">
        <x:f>I53*Inputs!$B$8*Inputs!$B$11</x:f>
        <x:v>110231.13109250001</x:v>
      </x:c>
      <x:c r="P53" s="136" t="n">
        <x:f>K53*Inputs!$B$8*Scenarios!$G$6</x:f>
        <x:v>0</x:v>
      </x:c>
      <x:c r="Q53" s="136" t="n">
        <x:f>SUM(N53:P53)</x:f>
        <x:v>812954.5918071875</x:v>
      </x:c>
      <x:c r="R53" s="136" t="n">
        <x:f>I53*Inputs!$B$8</x:f>
        <x:v>918592.7591041668</x:v>
      </x:c>
      <x:c r="S53" s="136" t="str">
        <x:f>IF(R53&lt;=Inputs!$B$13,"PASS","EXCEEDS")</x:f>
        <x:v>PASS</x:v>
      </x:c>
      <x:c r="T53" s="136" t="str">
        <x:f>IF(L53&lt;=Inputs!$B$14,"PASS","EXCEEDS")</x:f>
        <x:v>PASS</x:v>
      </x:c>
      <x:c r="U53" s="136" t="str">
        <x:v>Sb-equivalent; illustrative</x:v>
      </x:c>
    </x:row>
    <x:row r="54" ht="20" customHeight="1">
      <x:c r="A54" s="136" t="n">
        <x:v>2031</x:v>
      </x:c>
      <x:c r="B54" s="136" t="str">
        <x:v>Domestic-led</x:v>
      </x:c>
      <x:c r="C54" s="136" t="str">
        <x:v>Stress</x:v>
      </x:c>
      <x:c r="D54" s="136" t="n">
        <x:f>Inputs!$B$6</x:f>
        <x:v>100</x:v>
      </x:c>
      <x:c r="E54" s="136" t="n">
        <x:f>Options!$D$6*Ramp!$B$10</x:f>
        <x:v>0.45</x:v>
      </x:c>
      <x:c r="F54" s="136" t="n">
        <x:f>Options!$C$6</x:f>
        <x:v>0.25</x:v>
      </x:c>
      <x:c r="G54" s="136" t="n">
        <x:f>1-E54-F54</x:f>
        <x:v>0.30000000000000004</x:v>
      </x:c>
      <x:c r="H54" s="136" t="n">
        <x:f>D54*Scenarios!$B$7/12*(G54*Scenarios!$C$7+F54*Scenarios!$D$7+E54*Scenarios!$E$7)</x:f>
        <x:v>8.41666666666667</x:v>
      </x:c>
      <x:c r="I54" s="136" t="n">
        <x:f>D54*Options!$E$6/12</x:f>
        <x:v>16.666666666666668</x:v>
      </x:c>
      <x:c r="J54" s="136" t="n">
        <x:f>MIN(H54,I54)</x:f>
        <x:v>8.41666666666667</x:v>
      </x:c>
      <x:c r="K54" s="136" t="n">
        <x:f>MAX(0,H54-J54)*Scenarios!$F$7</x:f>
        <x:v>0</x:v>
      </x:c>
      <x:c r="L54" s="136" t="n">
        <x:f>MAX(0,H54-J54-K54)</x:f>
        <x:v>0</x:v>
      </x:c>
      <x:c r="M54" s="136" t="n">
        <x:f>IF(D54&gt;0,1-L54/D54,0)</x:f>
        <x:v>1</x:v>
      </x:c>
      <x:c r="N54" s="136" t="n">
        <x:f>D54*Inputs!$B$8*(F54*Inputs!$B$9+E54*Inputs!$B$10)</x:f>
        <x:v>702723.4607146875</x:v>
      </x:c>
      <x:c r="O54" s="136" t="n">
        <x:f>I54*Inputs!$B$8*Inputs!$B$11</x:f>
        <x:v>110231.13109250001</x:v>
      </x:c>
      <x:c r="P54" s="136" t="n">
        <x:f>K54*Inputs!$B$8*Scenarios!$G$7</x:f>
        <x:v>0</x:v>
      </x:c>
      <x:c r="Q54" s="136" t="n">
        <x:f>SUM(N54:P54)</x:f>
        <x:v>812954.5918071875</x:v>
      </x:c>
      <x:c r="R54" s="136" t="n">
        <x:f>I54*Inputs!$B$8</x:f>
        <x:v>918592.7591041668</x:v>
      </x:c>
      <x:c r="S54" s="136" t="str">
        <x:f>IF(R54&lt;=Inputs!$B$13,"PASS","EXCEEDS")</x:f>
        <x:v>PASS</x:v>
      </x:c>
      <x:c r="T54" s="136" t="str">
        <x:f>IF(L54&lt;=Inputs!$B$14,"PASS","EXCEEDS")</x:f>
        <x:v>PASS</x:v>
      </x:c>
      <x:c r="U54" s="136" t="str">
        <x:v>Sb-equivalent; illustrative</x:v>
      </x:c>
    </x:row>
    <x:row r="55" ht="20" customHeight="1">
      <x:c r="A55" s="161" t="n">
        <x:v>2031</x:v>
      </x:c>
      <x:c r="B55" s="161" t="str">
        <x:v>Domestic-led</x:v>
      </x:c>
      <x:c r="C55" s="161" t="str">
        <x:v>Severe</x:v>
      </x:c>
      <x:c r="D55" s="136" t="n">
        <x:f>Inputs!$B$6</x:f>
        <x:v>100</x:v>
      </x:c>
      <x:c r="E55" s="136" t="n">
        <x:f>Options!$D$6*Ramp!$B$10</x:f>
        <x:v>0.45</x:v>
      </x:c>
      <x:c r="F55" s="136" t="n">
        <x:f>Options!$C$6</x:f>
        <x:v>0.25</x:v>
      </x:c>
      <x:c r="G55" s="136" t="n">
        <x:f>1-E55-F55</x:f>
        <x:v>0.30000000000000004</x:v>
      </x:c>
      <x:c r="H55" s="136" t="n">
        <x:f>D55*Scenarios!$B$8/12*(G55*Scenarios!$C$8+F55*Scenarios!$D$8+E55*Scenarios!$E$8)</x:f>
        <x:v>30.000000000000007</x:v>
      </x:c>
      <x:c r="I55" s="136" t="n">
        <x:f>D55*Options!$E$6/12</x:f>
        <x:v>16.666666666666668</x:v>
      </x:c>
      <x:c r="J55" s="136" t="n">
        <x:f>MIN(H55,I55)</x:f>
        <x:v>16.666666666666668</x:v>
      </x:c>
      <x:c r="K55" s="136" t="n">
        <x:f>MAX(0,H55-J55)*Scenarios!$F$8</x:f>
        <x:v>1.333333333333334</x:v>
      </x:c>
      <x:c r="L55" s="136" t="n">
        <x:f>MAX(0,H55-J55-K55)</x:f>
        <x:v>12.000000000000005</x:v>
      </x:c>
      <x:c r="M55" s="136" t="n">
        <x:f>IF(D55&gt;0,1-L55/D55,0)</x:f>
        <x:v>0.8799999999999999</x:v>
      </x:c>
      <x:c r="N55" s="136" t="n">
        <x:f>D55*Inputs!$B$8*(F55*Inputs!$B$9+E55*Inputs!$B$10)</x:f>
        <x:v>702723.4607146875</x:v>
      </x:c>
      <x:c r="O55" s="136" t="n">
        <x:f>I55*Inputs!$B$8*Inputs!$B$11</x:f>
        <x:v>110231.13109250001</x:v>
      </x:c>
      <x:c r="P55" s="136" t="n">
        <x:f>K55*Inputs!$B$8*Scenarios!$G$8</x:f>
        <x:v>110231.13109250006</x:v>
      </x:c>
      <x:c r="Q55" s="136" t="n">
        <x:f>SUM(N55:P55)</x:f>
        <x:v>923185.7228996876</x:v>
      </x:c>
      <x:c r="R55" s="136" t="n">
        <x:f>I55*Inputs!$B$8</x:f>
        <x:v>918592.7591041668</x:v>
      </x:c>
      <x:c r="S55" s="136" t="str">
        <x:f>IF(R55&lt;=Inputs!$B$13,"PASS","EXCEEDS")</x:f>
        <x:v>PASS</x:v>
      </x:c>
      <x:c r="T55" s="136" t="str">
        <x:f>IF(L55&lt;=Inputs!$B$14,"PASS","EXCEEDS")</x:f>
        <x:v>EXCEEDS</x:v>
      </x:c>
      <x:c r="U55" s="136" t="str">
        <x:v>Sb-equivalent; illustrative</x:v>
      </x:c>
    </x:row>
    <x:row r="56" ht="20" customHeight="1">
      <x:c r="A56" s="136" t="n">
        <x:v>2031</x:v>
      </x:c>
      <x:c r="B56" s="136" t="str">
        <x:v>Diversification-led</x:v>
      </x:c>
      <x:c r="C56" s="136" t="str">
        <x:v>Base</x:v>
      </x:c>
      <x:c r="D56" s="136" t="n">
        <x:f>Inputs!$B$6</x:f>
        <x:v>100</x:v>
      </x:c>
      <x:c r="E56" s="136" t="n">
        <x:f>Options!$D$7*Ramp!$B$10</x:f>
        <x:v>0</x:v>
      </x:c>
      <x:c r="F56" s="136" t="n">
        <x:f>Options!$C$7</x:f>
        <x:v>0.55</x:v>
      </x:c>
      <x:c r="G56" s="136" t="n">
        <x:f>1-E56-F56</x:f>
        <x:v>0.44999999999999996</x:v>
      </x:c>
      <x:c r="H56" s="136" t="n">
        <x:f>D56*Scenarios!$B$6/12*(G56*Scenarios!$C$6+F56*Scenarios!$D$6+E56*Scenarios!$E$6)</x:f>
        <x:v>0</x:v>
      </x:c>
      <x:c r="I56" s="136" t="n">
        <x:f>D56*Options!$E$7/12</x:f>
        <x:v>25</x:v>
      </x:c>
      <x:c r="J56" s="136" t="n">
        <x:f>MIN(H56,I56)</x:f>
        <x:v>0</x:v>
      </x:c>
      <x:c r="K56" s="136" t="n">
        <x:f>MAX(0,H56-J56)*Scenarios!$F$6</x:f>
        <x:v>0</x:v>
      </x:c>
      <x:c r="L56" s="136" t="n">
        <x:f>MAX(0,H56-J56-K56)</x:f>
        <x:v>0</x:v>
      </x:c>
      <x:c r="M56" s="136" t="n">
        <x:f>IF(D56&gt;0,1-L56/D56,0)</x:f>
        <x:v>1</x:v>
      </x:c>
      <x:c r="N56" s="136" t="n">
        <x:f>D56*Inputs!$B$8*(F56*Inputs!$B$9+E56*Inputs!$B$10)</x:f>
        <x:v>454703.4157565625</x:v>
      </x:c>
      <x:c r="O56" s="136" t="n">
        <x:f>I56*Inputs!$B$8*Inputs!$B$11</x:f>
        <x:v>165346.69663875</x:v>
      </x:c>
      <x:c r="P56" s="136" t="n">
        <x:f>K56*Inputs!$B$8*Scenarios!$G$6</x:f>
        <x:v>0</x:v>
      </x:c>
      <x:c r="Q56" s="136" t="n">
        <x:f>SUM(N56:P56)</x:f>
        <x:v>620050.1123953125</x:v>
      </x:c>
      <x:c r="R56" s="136" t="n">
        <x:f>I56*Inputs!$B$8</x:f>
        <x:v>1377889.13865625</x:v>
      </x:c>
      <x:c r="S56" s="136" t="str">
        <x:f>IF(R56&lt;=Inputs!$B$13,"PASS","EXCEEDS")</x:f>
        <x:v>PASS</x:v>
      </x:c>
      <x:c r="T56" s="136" t="str">
        <x:f>IF(L56&lt;=Inputs!$B$14,"PASS","EXCEEDS")</x:f>
        <x:v>PASS</x:v>
      </x:c>
      <x:c r="U56" s="136" t="str">
        <x:v>Sb-equivalent; illustrative</x:v>
      </x:c>
    </x:row>
    <x:row r="57" ht="20" customHeight="1">
      <x:c r="A57" s="136" t="n">
        <x:v>2031</x:v>
      </x:c>
      <x:c r="B57" s="136" t="str">
        <x:v>Diversification-led</x:v>
      </x:c>
      <x:c r="C57" s="136" t="str">
        <x:v>Stress</x:v>
      </x:c>
      <x:c r="D57" s="136" t="n">
        <x:f>Inputs!$B$6</x:f>
        <x:v>100</x:v>
      </x:c>
      <x:c r="E57" s="136" t="n">
        <x:f>Options!$D$7*Ramp!$B$10</x:f>
        <x:v>0</x:v>
      </x:c>
      <x:c r="F57" s="136" t="n">
        <x:f>Options!$C$7</x:f>
        <x:v>0.55</x:v>
      </x:c>
      <x:c r="G57" s="136" t="n">
        <x:f>1-E57-F57</x:f>
        <x:v>0.44999999999999996</x:v>
      </x:c>
      <x:c r="H57" s="136" t="n">
        <x:f>D57*Scenarios!$B$7/12*(G57*Scenarios!$C$7+F57*Scenarios!$D$7+E57*Scenarios!$E$7)</x:f>
        <x:v>12.666666666666668</x:v>
      </x:c>
      <x:c r="I57" s="136" t="n">
        <x:f>D57*Options!$E$7/12</x:f>
        <x:v>25</x:v>
      </x:c>
      <x:c r="J57" s="136" t="n">
        <x:f>MIN(H57,I57)</x:f>
        <x:v>12.666666666666668</x:v>
      </x:c>
      <x:c r="K57" s="136" t="n">
        <x:f>MAX(0,H57-J57)*Scenarios!$F$7</x:f>
        <x:v>0</x:v>
      </x:c>
      <x:c r="L57" s="136" t="n">
        <x:f>MAX(0,H57-J57-K57)</x:f>
        <x:v>0</x:v>
      </x:c>
      <x:c r="M57" s="136" t="n">
        <x:f>IF(D57&gt;0,1-L57/D57,0)</x:f>
        <x:v>1</x:v>
      </x:c>
      <x:c r="N57" s="136" t="n">
        <x:f>D57*Inputs!$B$8*(F57*Inputs!$B$9+E57*Inputs!$B$10)</x:f>
        <x:v>454703.4157565625</x:v>
      </x:c>
      <x:c r="O57" s="136" t="n">
        <x:f>I57*Inputs!$B$8*Inputs!$B$11</x:f>
        <x:v>165346.69663875</x:v>
      </x:c>
      <x:c r="P57" s="136" t="n">
        <x:f>K57*Inputs!$B$8*Scenarios!$G$7</x:f>
        <x:v>0</x:v>
      </x:c>
      <x:c r="Q57" s="136" t="n">
        <x:f>SUM(N57:P57)</x:f>
        <x:v>620050.1123953125</x:v>
      </x:c>
      <x:c r="R57" s="136" t="n">
        <x:f>I57*Inputs!$B$8</x:f>
        <x:v>1377889.13865625</x:v>
      </x:c>
      <x:c r="S57" s="136" t="str">
        <x:f>IF(R57&lt;=Inputs!$B$13,"PASS","EXCEEDS")</x:f>
        <x:v>PASS</x:v>
      </x:c>
      <x:c r="T57" s="136" t="str">
        <x:f>IF(L57&lt;=Inputs!$B$14,"PASS","EXCEEDS")</x:f>
        <x:v>PASS</x:v>
      </x:c>
      <x:c r="U57" s="136" t="str">
        <x:v>Sb-equivalent; illustrative</x:v>
      </x:c>
    </x:row>
    <x:row r="58" ht="20" customHeight="1">
      <x:c r="A58" s="161" t="n">
        <x:v>2031</x:v>
      </x:c>
      <x:c r="B58" s="161" t="str">
        <x:v>Diversification-led</x:v>
      </x:c>
      <x:c r="C58" s="161" t="str">
        <x:v>Severe</x:v>
      </x:c>
      <x:c r="D58" s="136" t="n">
        <x:f>Inputs!$B$6</x:f>
        <x:v>100</x:v>
      </x:c>
      <x:c r="E58" s="136" t="n">
        <x:f>Options!$D$7*Ramp!$B$10</x:f>
        <x:v>0</x:v>
      </x:c>
      <x:c r="F58" s="136" t="n">
        <x:f>Options!$C$7</x:f>
        <x:v>0.55</x:v>
      </x:c>
      <x:c r="G58" s="136" t="n">
        <x:f>1-E58-F58</x:f>
        <x:v>0.44999999999999996</x:v>
      </x:c>
      <x:c r="H58" s="136" t="n">
        <x:f>D58*Scenarios!$B$8/12*(G58*Scenarios!$C$8+F58*Scenarios!$D$8+E58*Scenarios!$E$8)</x:f>
        <x:v>43.5</x:v>
      </x:c>
      <x:c r="I58" s="136" t="n">
        <x:f>D58*Options!$E$7/12</x:f>
        <x:v>25</x:v>
      </x:c>
      <x:c r="J58" s="136" t="n">
        <x:f>MIN(H58,I58)</x:f>
        <x:v>25</x:v>
      </x:c>
      <x:c r="K58" s="136" t="n">
        <x:f>MAX(0,H58-J58)*Scenarios!$F$8</x:f>
        <x:v>1.85</x:v>
      </x:c>
      <x:c r="L58" s="136" t="n">
        <x:f>MAX(0,H58-J58-K58)</x:f>
        <x:v>16.65</x:v>
      </x:c>
      <x:c r="M58" s="136" t="n">
        <x:f>IF(D58&gt;0,1-L58/D58,0)</x:f>
        <x:v>0.8335</x:v>
      </x:c>
      <x:c r="N58" s="136" t="n">
        <x:f>D58*Inputs!$B$8*(F58*Inputs!$B$9+E58*Inputs!$B$10)</x:f>
        <x:v>454703.4157565625</x:v>
      </x:c>
      <x:c r="O58" s="136" t="n">
        <x:f>I58*Inputs!$B$8*Inputs!$B$11</x:f>
        <x:v>165346.69663875</x:v>
      </x:c>
      <x:c r="P58" s="136" t="n">
        <x:f>K58*Inputs!$B$8*Scenarios!$G$8</x:f>
        <x:v>152945.69439084377</x:v>
      </x:c>
      <x:c r="Q58" s="136" t="n">
        <x:f>SUM(N58:P58)</x:f>
        <x:v>772995.8067861563</x:v>
      </x:c>
      <x:c r="R58" s="136" t="n">
        <x:f>I58*Inputs!$B$8</x:f>
        <x:v>1377889.13865625</x:v>
      </x:c>
      <x:c r="S58" s="136" t="str">
        <x:f>IF(R58&lt;=Inputs!$B$13,"PASS","EXCEEDS")</x:f>
        <x:v>PASS</x:v>
      </x:c>
      <x:c r="T58" s="136" t="str">
        <x:f>IF(L58&lt;=Inputs!$B$14,"PASS","EXCEEDS")</x:f>
        <x:v>EXCEEDS</x:v>
      </x:c>
      <x:c r="U58" s="136" t="str">
        <x:v>Sb-equivalent; illustrative</x:v>
      </x:c>
    </x:row>
    <x:row r="59" ht="20" customHeight="1">
      <x:c r="A59" s="136" t="n">
        <x:v>2031</x:v>
      </x:c>
      <x:c r="B59" s="136" t="str">
        <x:v>Inventory-led</x:v>
      </x:c>
      <x:c r="C59" s="136" t="str">
        <x:v>Base</x:v>
      </x:c>
      <x:c r="D59" s="136" t="n">
        <x:f>Inputs!$B$6</x:f>
        <x:v>100</x:v>
      </x:c>
      <x:c r="E59" s="136" t="n">
        <x:f>Options!$D$8*Ramp!$B$10</x:f>
        <x:v>0</x:v>
      </x:c>
      <x:c r="F59" s="136" t="n">
        <x:f>Options!$C$8</x:f>
        <x:v>0.25</x:v>
      </x:c>
      <x:c r="G59" s="136" t="n">
        <x:f>1-E59-F59</x:f>
        <x:v>0.75</x:v>
      </x:c>
      <x:c r="H59" s="136" t="n">
        <x:f>D59*Scenarios!$B$6/12*(G59*Scenarios!$C$6+F59*Scenarios!$D$6+E59*Scenarios!$E$6)</x:f>
        <x:v>0</x:v>
      </x:c>
      <x:c r="I59" s="136" t="n">
        <x:f>D59*Options!$E$8/12</x:f>
        <x:v>75</x:v>
      </x:c>
      <x:c r="J59" s="136" t="n">
        <x:f>MIN(H59,I59)</x:f>
        <x:v>0</x:v>
      </x:c>
      <x:c r="K59" s="136" t="n">
        <x:f>MAX(0,H59-J59)*Scenarios!$F$6</x:f>
        <x:v>0</x:v>
      </x:c>
      <x:c r="L59" s="136" t="n">
        <x:f>MAX(0,H59-J59-K59)</x:f>
        <x:v>0</x:v>
      </x:c>
      <x:c r="M59" s="136" t="n">
        <x:f>IF(D59&gt;0,1-L59/D59,0)</x:f>
        <x:v>1</x:v>
      </x:c>
      <x:c r="N59" s="136" t="n">
        <x:f>D59*Inputs!$B$8*(F59*Inputs!$B$9+E59*Inputs!$B$10)</x:f>
        <x:v>206683.37079843748</x:v>
      </x:c>
      <x:c r="O59" s="136" t="n">
        <x:f>I59*Inputs!$B$8*Inputs!$B$11</x:f>
        <x:v>496040.08991624997</x:v>
      </x:c>
      <x:c r="P59" s="136" t="n">
        <x:f>K59*Inputs!$B$8*Scenarios!$G$6</x:f>
        <x:v>0</x:v>
      </x:c>
      <x:c r="Q59" s="136" t="n">
        <x:f>SUM(N59:P59)</x:f>
        <x:v>702723.4607146875</x:v>
      </x:c>
      <x:c r="R59" s="136" t="n">
        <x:f>I59*Inputs!$B$8</x:f>
        <x:v>4133667.41596875</x:v>
      </x:c>
      <x:c r="S59" s="136" t="str">
        <x:f>IF(R59&lt;=Inputs!$B$13,"PASS","EXCEEDS")</x:f>
        <x:v>EXCEEDS</x:v>
      </x:c>
      <x:c r="T59" s="136" t="str">
        <x:f>IF(L59&lt;=Inputs!$B$14,"PASS","EXCEEDS")</x:f>
        <x:v>PASS</x:v>
      </x:c>
      <x:c r="U59" s="136" t="str">
        <x:v>Sb-equivalent; illustrative</x:v>
      </x:c>
    </x:row>
    <x:row r="60" ht="20" customHeight="1">
      <x:c r="A60" s="136" t="n">
        <x:v>2031</x:v>
      </x:c>
      <x:c r="B60" s="136" t="str">
        <x:v>Inventory-led</x:v>
      </x:c>
      <x:c r="C60" s="136" t="str">
        <x:v>Stress</x:v>
      </x:c>
      <x:c r="D60" s="136" t="n">
        <x:f>Inputs!$B$6</x:f>
        <x:v>100</x:v>
      </x:c>
      <x:c r="E60" s="136" t="n">
        <x:f>Options!$D$8*Ramp!$B$10</x:f>
        <x:v>0</x:v>
      </x:c>
      <x:c r="F60" s="136" t="n">
        <x:f>Options!$C$8</x:f>
        <x:v>0.25</x:v>
      </x:c>
      <x:c r="G60" s="136" t="n">
        <x:f>1-E60-F60</x:f>
        <x:v>0.75</x:v>
      </x:c>
      <x:c r="H60" s="136" t="n">
        <x:f>D60*Scenarios!$B$7/12*(G60*Scenarios!$C$7+F60*Scenarios!$D$7+E60*Scenarios!$E$7)</x:f>
        <x:v>16.666666666666664</x:v>
      </x:c>
      <x:c r="I60" s="136" t="n">
        <x:f>D60*Options!$E$8/12</x:f>
        <x:v>75</x:v>
      </x:c>
      <x:c r="J60" s="136" t="n">
        <x:f>MIN(H60,I60)</x:f>
        <x:v>16.666666666666664</x:v>
      </x:c>
      <x:c r="K60" s="136" t="n">
        <x:f>MAX(0,H60-J60)*Scenarios!$F$7</x:f>
        <x:v>0</x:v>
      </x:c>
      <x:c r="L60" s="136" t="n">
        <x:f>MAX(0,H60-J60-K60)</x:f>
        <x:v>0</x:v>
      </x:c>
      <x:c r="M60" s="136" t="n">
        <x:f>IF(D60&gt;0,1-L60/D60,0)</x:f>
        <x:v>1</x:v>
      </x:c>
      <x:c r="N60" s="136" t="n">
        <x:f>D60*Inputs!$B$8*(F60*Inputs!$B$9+E60*Inputs!$B$10)</x:f>
        <x:v>206683.37079843748</x:v>
      </x:c>
      <x:c r="O60" s="136" t="n">
        <x:f>I60*Inputs!$B$8*Inputs!$B$11</x:f>
        <x:v>496040.08991624997</x:v>
      </x:c>
      <x:c r="P60" s="136" t="n">
        <x:f>K60*Inputs!$B$8*Scenarios!$G$7</x:f>
        <x:v>0</x:v>
      </x:c>
      <x:c r="Q60" s="136" t="n">
        <x:f>SUM(N60:P60)</x:f>
        <x:v>702723.4607146875</x:v>
      </x:c>
      <x:c r="R60" s="136" t="n">
        <x:f>I60*Inputs!$B$8</x:f>
        <x:v>4133667.41596875</x:v>
      </x:c>
      <x:c r="S60" s="136" t="str">
        <x:f>IF(R60&lt;=Inputs!$B$13,"PASS","EXCEEDS")</x:f>
        <x:v>EXCEEDS</x:v>
      </x:c>
      <x:c r="T60" s="136" t="str">
        <x:f>IF(L60&lt;=Inputs!$B$14,"PASS","EXCEEDS")</x:f>
        <x:v>PASS</x:v>
      </x:c>
      <x:c r="U60" s="136" t="str">
        <x:v>Sb-equivalent; illustrative</x:v>
      </x:c>
    </x:row>
    <x:row r="61" ht="20" customHeight="1">
      <x:c r="A61" s="161" t="n">
        <x:v>2031</x:v>
      </x:c>
      <x:c r="B61" s="161" t="str">
        <x:v>Inventory-led</x:v>
      </x:c>
      <x:c r="C61" s="161" t="str">
        <x:v>Severe</x:v>
      </x:c>
      <x:c r="D61" s="136" t="n">
        <x:f>Inputs!$B$6</x:f>
        <x:v>100</x:v>
      </x:c>
      <x:c r="E61" s="136" t="n">
        <x:f>Options!$D$8*Ramp!$B$10</x:f>
        <x:v>0</x:v>
      </x:c>
      <x:c r="F61" s="136" t="n">
        <x:f>Options!$C$8</x:f>
        <x:v>0.25</x:v>
      </x:c>
      <x:c r="G61" s="136" t="n">
        <x:f>1-E61-F61</x:f>
        <x:v>0.75</x:v>
      </x:c>
      <x:c r="H61" s="136" t="n">
        <x:f>D61*Scenarios!$B$8/12*(G61*Scenarios!$C$8+F61*Scenarios!$D$8+E61*Scenarios!$E$8)</x:f>
        <x:v>52.50000000000001</x:v>
      </x:c>
      <x:c r="I61" s="136" t="n">
        <x:f>D61*Options!$E$8/12</x:f>
        <x:v>75</x:v>
      </x:c>
      <x:c r="J61" s="136" t="n">
        <x:f>MIN(H61,I61)</x:f>
        <x:v>52.50000000000001</x:v>
      </x:c>
      <x:c r="K61" s="136" t="n">
        <x:f>MAX(0,H61-J61)*Scenarios!$F$8</x:f>
        <x:v>0</x:v>
      </x:c>
      <x:c r="L61" s="136" t="n">
        <x:f>MAX(0,H61-J61-K61)</x:f>
        <x:v>0</x:v>
      </x:c>
      <x:c r="M61" s="136" t="n">
        <x:f>IF(D61&gt;0,1-L61/D61,0)</x:f>
        <x:v>1</x:v>
      </x:c>
      <x:c r="N61" s="136" t="n">
        <x:f>D61*Inputs!$B$8*(F61*Inputs!$B$9+E61*Inputs!$B$10)</x:f>
        <x:v>206683.37079843748</x:v>
      </x:c>
      <x:c r="O61" s="136" t="n">
        <x:f>I61*Inputs!$B$8*Inputs!$B$11</x:f>
        <x:v>496040.08991624997</x:v>
      </x:c>
      <x:c r="P61" s="136" t="n">
        <x:f>K61*Inputs!$B$8*Scenarios!$G$8</x:f>
        <x:v>0</x:v>
      </x:c>
      <x:c r="Q61" s="136" t="n">
        <x:f>SUM(N61:P61)</x:f>
        <x:v>702723.4607146875</x:v>
      </x:c>
      <x:c r="R61" s="136" t="n">
        <x:f>I61*Inputs!$B$8</x:f>
        <x:v>4133667.41596875</x:v>
      </x:c>
      <x:c r="S61" s="136" t="str">
        <x:f>IF(R61&lt;=Inputs!$B$13,"PASS","EXCEEDS")</x:f>
        <x:v>EXCEEDS</x:v>
      </x:c>
      <x:c r="T61" s="136" t="str">
        <x:f>IF(L61&lt;=Inputs!$B$14,"PASS","EXCEEDS")</x:f>
        <x:v>PASS</x:v>
      </x:c>
      <x:c r="U61" s="136" t="str">
        <x:v>Sb-equivalent; illustrative</x:v>
      </x:c>
    </x:row>
    <x:row r="62" ht="20" customHeight="1">
      <x:c r="A62" s="136" t="n">
        <x:v>2031</x:v>
      </x:c>
      <x:c r="B62" s="136" t="str">
        <x:v>Balanced</x:v>
      </x:c>
      <x:c r="C62" s="136" t="str">
        <x:v>Base</x:v>
      </x:c>
      <x:c r="D62" s="136" t="n">
        <x:f>Inputs!$B$6</x:f>
        <x:v>100</x:v>
      </x:c>
      <x:c r="E62" s="136" t="n">
        <x:f>Options!$D$9*Ramp!$B$10</x:f>
        <x:v>0.3</x:v>
      </x:c>
      <x:c r="F62" s="136" t="n">
        <x:f>Options!$C$9</x:f>
        <x:v>0.45</x:v>
      </x:c>
      <x:c r="G62" s="136" t="n">
        <x:f>1-E62-F62</x:f>
        <x:v>0.24999999999999994</x:v>
      </x:c>
      <x:c r="H62" s="136" t="n">
        <x:f>D62*Scenarios!$B$6/12*(G62*Scenarios!$C$6+F62*Scenarios!$D$6+E62*Scenarios!$E$6)</x:f>
        <x:v>0</x:v>
      </x:c>
      <x:c r="I62" s="136" t="n">
        <x:f>D62*Options!$E$9/12</x:f>
        <x:v>41.666666666666664</x:v>
      </x:c>
      <x:c r="J62" s="136" t="n">
        <x:f>MIN(H62,I62)</x:f>
        <x:v>0</x:v>
      </x:c>
      <x:c r="K62" s="136" t="n">
        <x:f>MAX(0,H62-J62)*Scenarios!$F$6</x:f>
        <x:v>0</x:v>
      </x:c>
      <x:c r="L62" s="136" t="n">
        <x:f>MAX(0,H62-J62-K62)</x:f>
        <x:v>0</x:v>
      </x:c>
      <x:c r="M62" s="136" t="n">
        <x:f>IF(D62&gt;0,1-L62/D62,0)</x:f>
        <x:v>1</x:v>
      </x:c>
      <x:c r="N62" s="136" t="n">
        <x:f>D62*Inputs!$B$8*(F62*Inputs!$B$9+E62*Inputs!$B$10)</x:f>
        <x:v>702723.4607146875</x:v>
      </x:c>
      <x:c r="O62" s="136" t="n">
        <x:f>I62*Inputs!$B$8*Inputs!$B$11</x:f>
        <x:v>275577.82773124997</x:v>
      </x:c>
      <x:c r="P62" s="136" t="n">
        <x:f>K62*Inputs!$B$8*Scenarios!$G$6</x:f>
        <x:v>0</x:v>
      </x:c>
      <x:c r="Q62" s="136" t="n">
        <x:f>SUM(N62:P62)</x:f>
        <x:v>978301.2884459374</x:v>
      </x:c>
      <x:c r="R62" s="136" t="n">
        <x:f>I62*Inputs!$B$8</x:f>
        <x:v>2296481.8977604164</x:v>
      </x:c>
      <x:c r="S62" s="136" t="str">
        <x:f>IF(R62&lt;=Inputs!$B$13,"PASS","EXCEEDS")</x:f>
        <x:v>PASS</x:v>
      </x:c>
      <x:c r="T62" s="136" t="str">
        <x:f>IF(L62&lt;=Inputs!$B$14,"PASS","EXCEEDS")</x:f>
        <x:v>PASS</x:v>
      </x:c>
      <x:c r="U62" s="136" t="str">
        <x:v>Sb-equivalent; illustrative</x:v>
      </x:c>
    </x:row>
    <x:row r="63" ht="20" customHeight="1">
      <x:c r="A63" s="136" t="n">
        <x:v>2031</x:v>
      </x:c>
      <x:c r="B63" s="136" t="str">
        <x:v>Balanced</x:v>
      </x:c>
      <x:c r="C63" s="136" t="str">
        <x:v>Stress</x:v>
      </x:c>
      <x:c r="D63" s="136" t="n">
        <x:f>Inputs!$B$6</x:f>
        <x:v>100</x:v>
      </x:c>
      <x:c r="E63" s="136" t="n">
        <x:f>Options!$D$9*Ramp!$B$10</x:f>
        <x:v>0.3</x:v>
      </x:c>
      <x:c r="F63" s="136" t="n">
        <x:f>Options!$C$9</x:f>
        <x:v>0.45</x:v>
      </x:c>
      <x:c r="G63" s="136" t="n">
        <x:f>1-E63-F63</x:f>
        <x:v>0.24999999999999994</x:v>
      </x:c>
      <x:c r="H63" s="136" t="n">
        <x:f>D63*Scenarios!$B$7/12*(G63*Scenarios!$C$7+F63*Scenarios!$D$7+E63*Scenarios!$E$7)</x:f>
        <x:v>8.5</x:v>
      </x:c>
      <x:c r="I63" s="136" t="n">
        <x:f>D63*Options!$E$9/12</x:f>
        <x:v>41.666666666666664</x:v>
      </x:c>
      <x:c r="J63" s="136" t="n">
        <x:f>MIN(H63,I63)</x:f>
        <x:v>8.5</x:v>
      </x:c>
      <x:c r="K63" s="136" t="n">
        <x:f>MAX(0,H63-J63)*Scenarios!$F$7</x:f>
        <x:v>0</x:v>
      </x:c>
      <x:c r="L63" s="136" t="n">
        <x:f>MAX(0,H63-J63-K63)</x:f>
        <x:v>0</x:v>
      </x:c>
      <x:c r="M63" s="136" t="n">
        <x:f>IF(D63&gt;0,1-L63/D63,0)</x:f>
        <x:v>1</x:v>
      </x:c>
      <x:c r="N63" s="136" t="n">
        <x:f>D63*Inputs!$B$8*(F63*Inputs!$B$9+E63*Inputs!$B$10)</x:f>
        <x:v>702723.4607146875</x:v>
      </x:c>
      <x:c r="O63" s="136" t="n">
        <x:f>I63*Inputs!$B$8*Inputs!$B$11</x:f>
        <x:v>275577.82773124997</x:v>
      </x:c>
      <x:c r="P63" s="136" t="n">
        <x:f>K63*Inputs!$B$8*Scenarios!$G$7</x:f>
        <x:v>0</x:v>
      </x:c>
      <x:c r="Q63" s="136" t="n">
        <x:f>SUM(N63:P63)</x:f>
        <x:v>978301.2884459374</x:v>
      </x:c>
      <x:c r="R63" s="136" t="n">
        <x:f>I63*Inputs!$B$8</x:f>
        <x:v>2296481.8977604164</x:v>
      </x:c>
      <x:c r="S63" s="136" t="str">
        <x:f>IF(R63&lt;=Inputs!$B$13,"PASS","EXCEEDS")</x:f>
        <x:v>PASS</x:v>
      </x:c>
      <x:c r="T63" s="136" t="str">
        <x:f>IF(L63&lt;=Inputs!$B$14,"PASS","EXCEEDS")</x:f>
        <x:v>PASS</x:v>
      </x:c>
      <x:c r="U63" s="136" t="str">
        <x:v>Sb-equivalent; illustrative</x:v>
      </x:c>
    </x:row>
    <x:row r="64" ht="20" customHeight="1">
      <x:c r="A64" s="161" t="n">
        <x:v>2031</x:v>
      </x:c>
      <x:c r="B64" s="161" t="str">
        <x:v>Balanced</x:v>
      </x:c>
      <x:c r="C64" s="161" t="str">
        <x:v>Severe</x:v>
      </x:c>
      <x:c r="D64" s="136" t="n">
        <x:f>Inputs!$B$6</x:f>
        <x:v>100</x:v>
      </x:c>
      <x:c r="E64" s="136" t="n">
        <x:f>Options!$D$9*Ramp!$B$10</x:f>
        <x:v>0.3</x:v>
      </x:c>
      <x:c r="F64" s="136" t="n">
        <x:f>Options!$C$9</x:f>
        <x:v>0.45</x:v>
      </x:c>
      <x:c r="G64" s="136" t="n">
        <x:f>1-E64-F64</x:f>
        <x:v>0.24999999999999994</x:v>
      </x:c>
      <x:c r="H64" s="136" t="n">
        <x:f>D64*Scenarios!$B$8/12*(G64*Scenarios!$C$8+F64*Scenarios!$D$8+E64*Scenarios!$E$8)</x:f>
        <x:v>31.5</x:v>
      </x:c>
      <x:c r="I64" s="136" t="n">
        <x:f>D64*Options!$E$9/12</x:f>
        <x:v>41.666666666666664</x:v>
      </x:c>
      <x:c r="J64" s="136" t="n">
        <x:f>MIN(H64,I64)</x:f>
        <x:v>31.5</x:v>
      </x:c>
      <x:c r="K64" s="136" t="n">
        <x:f>MAX(0,H64-J64)*Scenarios!$F$8</x:f>
        <x:v>0</x:v>
      </x:c>
      <x:c r="L64" s="136" t="n">
        <x:f>MAX(0,H64-J64-K64)</x:f>
        <x:v>0</x:v>
      </x:c>
      <x:c r="M64" s="136" t="n">
        <x:f>IF(D64&gt;0,1-L64/D64,0)</x:f>
        <x:v>1</x:v>
      </x:c>
      <x:c r="N64" s="136" t="n">
        <x:f>D64*Inputs!$B$8*(F64*Inputs!$B$9+E64*Inputs!$B$10)</x:f>
        <x:v>702723.4607146875</x:v>
      </x:c>
      <x:c r="O64" s="136" t="n">
        <x:f>I64*Inputs!$B$8*Inputs!$B$11</x:f>
        <x:v>275577.82773124997</x:v>
      </x:c>
      <x:c r="P64" s="136" t="n">
        <x:f>K64*Inputs!$B$8*Scenarios!$G$8</x:f>
        <x:v>0</x:v>
      </x:c>
      <x:c r="Q64" s="136" t="n">
        <x:f>SUM(N64:P64)</x:f>
        <x:v>978301.2884459374</x:v>
      </x:c>
      <x:c r="R64" s="136" t="n">
        <x:f>I64*Inputs!$B$8</x:f>
        <x:v>2296481.8977604164</x:v>
      </x:c>
      <x:c r="S64" s="136" t="str">
        <x:f>IF(R64&lt;=Inputs!$B$13,"PASS","EXCEEDS")</x:f>
        <x:v>PASS</x:v>
      </x:c>
      <x:c r="T64" s="136" t="str">
        <x:f>IF(L64&lt;=Inputs!$B$14,"PASS","EXCEEDS")</x:f>
        <x:v>PASS</x:v>
      </x:c>
      <x:c r="U64" s="136" t="str">
        <x:v>Sb-equivalent; illustrative</x:v>
      </x:c>
    </x:row>
    <x:row r="65" ht="20" customHeight="1">
      <x:c r="A65" s="136"/>
      <x:c r="B65" s="136"/>
      <x:c r="C65" s="136"/>
      <x:c r="D65" s="136"/>
      <x:c r="E65" s="136"/>
      <x:c r="F65" s="136"/>
      <x:c r="G65" s="136"/>
      <x:c r="H65" s="136"/>
      <x:c r="I65" s="136"/>
      <x:c r="J65" s="136"/>
      <x:c r="K65" s="136"/>
      <x:c r="L65" s="136"/>
      <x:c r="M65" s="136"/>
      <x:c r="N65" s="136"/>
      <x:c r="O65" s="136"/>
      <x:c r="P65" s="136"/>
      <x:c r="Q65" s="136"/>
      <x:c r="R65" s="136"/>
      <x:c r="S65" s="136"/>
      <x:c r="T65" s="136"/>
      <x:c r="U65" s="136"/>
    </x:row>
    <x:row r="66" ht="20" customHeight="1">
      <x:c r="A66" s="136"/>
      <x:c r="B66" s="136"/>
      <x:c r="C66" s="136"/>
      <x:c r="D66" s="136"/>
      <x:c r="E66" s="136"/>
      <x:c r="F66" s="136"/>
      <x:c r="G66" s="136"/>
      <x:c r="H66" s="136"/>
      <x:c r="I66" s="136"/>
      <x:c r="J66" s="136"/>
      <x:c r="K66" s="136"/>
      <x:c r="L66" s="136"/>
      <x:c r="M66" s="136"/>
      <x:c r="N66" s="136"/>
      <x:c r="O66" s="136"/>
      <x:c r="P66" s="136"/>
      <x:c r="Q66" s="136"/>
      <x:c r="R66" s="136"/>
      <x:c r="S66" s="136"/>
      <x:c r="T66" s="136"/>
      <x:c r="U66" s="136"/>
    </x:row>
    <x:row r="67" ht="20" customHeight="1">
      <x:c r="A67" s="136"/>
      <x:c r="B67" s="136"/>
      <x:c r="C67" s="136"/>
      <x:c r="D67" s="136"/>
      <x:c r="E67" s="136"/>
      <x:c r="F67" s="136"/>
      <x:c r="G67" s="136"/>
      <x:c r="H67" s="136"/>
      <x:c r="I67" s="136"/>
      <x:c r="J67" s="136"/>
      <x:c r="K67" s="136"/>
      <x:c r="L67" s="136"/>
      <x:c r="M67" s="136"/>
      <x:c r="N67" s="136"/>
      <x:c r="O67" s="136"/>
      <x:c r="P67" s="136"/>
      <x:c r="Q67" s="136"/>
      <x:c r="R67" s="136"/>
      <x:c r="S67" s="136"/>
      <x:c r="T67" s="136"/>
      <x:c r="U67" s="136"/>
    </x:row>
    <x:row r="68" ht="20" customHeight="1">
      <x:c r="A68" s="136"/>
      <x:c r="B68" s="136"/>
      <x:c r="C68" s="136"/>
      <x:c r="D68" s="136"/>
      <x:c r="E68" s="136"/>
      <x:c r="F68" s="136"/>
      <x:c r="G68" s="136"/>
      <x:c r="H68" s="136"/>
      <x:c r="I68" s="136"/>
      <x:c r="J68" s="136"/>
      <x:c r="K68" s="136"/>
      <x:c r="L68" s="136"/>
      <x:c r="M68" s="136"/>
      <x:c r="N68" s="136"/>
      <x:c r="O68" s="136"/>
      <x:c r="P68" s="136"/>
      <x:c r="Q68" s="136"/>
      <x:c r="R68" s="136"/>
      <x:c r="S68" s="136"/>
      <x:c r="T68" s="136"/>
      <x:c r="U68" s="136"/>
    </x:row>
    <x:row r="69" ht="20" customHeight="1">
      <x:c r="A69" s="136"/>
      <x:c r="B69" s="136"/>
      <x:c r="C69" s="136"/>
      <x:c r="D69" s="136"/>
      <x:c r="E69" s="136"/>
      <x:c r="F69" s="136"/>
      <x:c r="G69" s="136"/>
      <x:c r="H69" s="136"/>
      <x:c r="I69" s="136"/>
      <x:c r="J69" s="136"/>
      <x:c r="K69" s="136"/>
      <x:c r="L69" s="136"/>
      <x:c r="M69" s="136"/>
      <x:c r="N69" s="136"/>
      <x:c r="O69" s="136"/>
      <x:c r="P69" s="136"/>
      <x:c r="Q69" s="136"/>
      <x:c r="R69" s="136"/>
      <x:c r="S69" s="136"/>
      <x:c r="T69" s="136"/>
      <x:c r="U69" s="136"/>
    </x:row>
  </x:sheetData>
  <x:mergeCells>
    <x:mergeCell ref="A1:U2"/>
  </x:mergeCells>
  <x:pageMargins left="0.7" right="0.7" top="0.75" bottom="0.75" header="0.3" footer="0.3"/>
</x:worksheet>
</file>

<file path=xl/worksheets/sheet10.xml><?xml version="1.0" encoding="utf-8"?>
<x:worksheet xmlns:x="http://schemas.openxmlformats.org/spreadsheetml/2006/main">
  <x:sheetFormatPr defaultRowHeight="15"/>
  <x:cols>
    <x:col min="1" max="1" width="25" hidden="0" customWidth="1"/>
    <x:col min="2" max="2" width="17" hidden="0" customWidth="1"/>
    <x:col min="3" max="3" width="19" hidden="0" customWidth="1"/>
    <x:col min="4" max="4" width="20" hidden="0" customWidth="1"/>
    <x:col min="5" max="5" width="21" hidden="0" customWidth="1"/>
    <x:col min="6" max="6" width="16" hidden="0" customWidth="1"/>
    <x:col min="7" max="7" width="20" hidden="0" customWidth="1"/>
    <x:col min="8" max="8" width="17" hidden="0" customWidth="1"/>
    <x:col min="9" max="9" width="17" hidden="0" customWidth="1"/>
    <x:col min="10" max="10" width="18" hidden="0" customWidth="1"/>
    <x:col min="11" max="11" width="18" hidden="0" customWidth="1"/>
    <x:col min="12" max="12" width="18" hidden="0" customWidth="1"/>
  </x:cols>
  <x:sheetData>
    <x:row r="1" ht="29" customHeight="1">
      <x:c r="A1" s="133" t="str">
        <x:v>DECISION DASHBOARD  |  ANTIMONY RESILIENCE</x:v>
      </x:c>
      <x:c r="B1" s="133"/>
      <x:c r="C1" s="133"/>
      <x:c r="D1" s="133"/>
      <x:c r="E1" s="133"/>
      <x:c r="F1" s="133"/>
      <x:c r="G1" s="133"/>
      <x:c r="H1" s="133"/>
      <x:c r="I1" s="133"/>
      <x:c r="J1" s="133"/>
      <x:c r="K1" s="133"/>
      <x:c r="L1" s="133"/>
    </x:row>
    <x:row r="2" ht="29" customHeight="1">
      <x:c r="A2" s="133"/>
      <x:c r="B2" s="133"/>
      <x:c r="C2" s="133"/>
      <x:c r="D2" s="133"/>
      <x:c r="E2" s="133"/>
      <x:c r="F2" s="133"/>
      <x:c r="G2" s="133"/>
      <x:c r="H2" s="133"/>
      <x:c r="I2" s="133"/>
      <x:c r="J2" s="133"/>
      <x:c r="K2" s="133"/>
      <x:c r="L2" s="133"/>
    </x:row>
    <x:row r="3" ht="25" customHeight="1">
      <x:c r="A3" s="135" t="str">
        <x:v>Case assumptions in gold  |  verified public sector statistics in History  |  Policy Tests derives stock requirements and reverse conditions</x:v>
      </x:c>
      <x:c r="B3" s="135"/>
      <x:c r="C3" s="135"/>
      <x:c r="D3" s="135"/>
      <x:c r="E3" s="135"/>
      <x:c r="F3" s="135"/>
      <x:c r="G3" s="135"/>
      <x:c r="H3" s="135"/>
      <x:c r="I3" s="135"/>
      <x:c r="J3" s="135"/>
      <x:c r="K3" s="135"/>
      <x:c r="L3" s="135"/>
    </x:row>
    <x:row r="4" ht="20" customHeight="1">
      <x:c r="A4" s="136"/>
      <x:c r="B4" s="136"/>
      <x:c r="C4" s="136"/>
      <x:c r="D4" s="136"/>
      <x:c r="E4" s="136"/>
      <x:c r="F4" s="136"/>
      <x:c r="G4" s="136"/>
      <x:c r="H4" s="136"/>
      <x:c r="I4" s="136"/>
      <x:c r="J4" s="136"/>
      <x:c r="K4" s="136"/>
      <x:c r="L4" s="136"/>
    </x:row>
    <x:row r="5" ht="20" customHeight="1">
      <x:c r="A5" s="136" t="str">
        <x:v>Decision year</x:v>
      </x:c>
      <x:c r="B5" s="136" t="n">
        <x:f>Inputs!B12</x:f>
        <x:v>2030</x:v>
      </x:c>
      <x:c r="C5" s="136"/>
      <x:c r="D5" s="136" t="str">
        <x:v>Reference $/t</x:v>
      </x:c>
      <x:c r="E5" s="147" t="n">
        <x:f>Inputs!B8</x:f>
        <x:v>55115.56554625</x:v>
      </x:c>
      <x:c r="F5" s="136"/>
      <x:c r="G5" s="136" t="str">
        <x:v>Annual demand t</x:v>
      </x:c>
      <x:c r="H5" s="136" t="n">
        <x:f>Inputs!B6</x:f>
        <x:v>100</x:v>
      </x:c>
      <x:c r="I5" s="136"/>
      <x:c r="J5" s="136" t="str">
        <x:v>Cap $</x:v>
      </x:c>
      <x:c r="K5" s="147" t="n">
        <x:f>Inputs!B13</x:f>
        <x:v>3000000</x:v>
      </x:c>
      <x:c r="L5" s="136"/>
    </x:row>
    <x:row r="6" ht="20" customHeight="1">
      <x:c r="A6" s="136"/>
      <x:c r="B6" s="136"/>
      <x:c r="C6" s="136"/>
      <x:c r="D6" s="136"/>
      <x:c r="E6" s="136"/>
      <x:c r="F6" s="136"/>
      <x:c r="G6" s="136"/>
      <x:c r="H6" s="136"/>
      <x:c r="I6" s="136"/>
      <x:c r="J6" s="136"/>
      <x:c r="K6" s="136"/>
      <x:c r="L6" s="136"/>
    </x:row>
    <x:row r="7" ht="20" customHeight="1">
      <x:c r="A7" s="136"/>
      <x:c r="B7" s="136"/>
      <x:c r="C7" s="136"/>
      <x:c r="D7" s="136"/>
      <x:c r="E7" s="136"/>
      <x:c r="F7" s="136"/>
      <x:c r="G7" s="136"/>
      <x:c r="H7" s="136"/>
      <x:c r="I7" s="136"/>
      <x:c r="J7" s="136"/>
      <x:c r="K7" s="136"/>
      <x:c r="L7" s="136"/>
    </x:row>
    <x:row r="8" ht="26" customHeight="1">
      <x:c r="A8" s="140" t="str">
        <x:v>Archetype</x:v>
      </x:c>
      <x:c r="B8" s="140" t="str">
        <x:v>Severe unfilled t</x:v>
      </x:c>
      <x:c r="C8" s="140" t="str">
        <x:v>Severe continuity</x:v>
      </x:c>
      <x:c r="D8" s="140" t="str">
        <x:v>Severe incr. $</x:v>
      </x:c>
      <x:c r="E8" s="140" t="str">
        <x:v>Inventory cash $</x:v>
      </x:c>
      <x:c r="F8" s="140" t="str">
        <x:v>Stress unfilled t</x:v>
      </x:c>
      <x:c r="G8" s="140" t="str">
        <x:v>Base incr. $</x:v>
      </x:c>
      <x:c r="H8" s="140" t="str">
        <x:v>Cash hurdle</x:v>
      </x:c>
      <x:c r="I8" s="140" t="str">
        <x:v>Gap hurdle</x:v>
      </x:c>
      <x:c r="J8" s="140" t="str">
        <x:v>Decision status</x:v>
      </x:c>
      <x:c r="K8" s="140"/>
      <x:c r="L8" s="140"/>
    </x:row>
    <x:row r="9" ht="20" customHeight="1">
      <x:c r="A9" s="136" t="str">
        <x:v>Domestic-led</x:v>
      </x:c>
      <x:c r="B9" s="169" t="n">
        <x:f>SUMIFS(Cases!$L$5:$L$64,Cases!$A$5:$A$64,Inputs!$B$12,Cases!$B$5:$B$64,$A9,Cases!$C$5:$C$64,"Severe")</x:f>
        <x:v>22.12500000000001</x:v>
      </x:c>
      <x:c r="C9" s="146" t="n">
        <x:f>SUMIFS(Cases!$M$5:$M$64,Cases!$A$5:$A$64,Inputs!$B$12,Cases!$B$5:$B$64,$A9,Cases!$C$5:$C$64,"Severe")</x:f>
        <x:v>0.7787499999999998</x:v>
      </x:c>
      <x:c r="D9" s="147" t="n">
        <x:f>SUMIFS(Cases!$Q$5:$Q$64,Cases!$A$5:$A$64,Inputs!$B$12,Cases!$B$5:$B$64,$A9,Cases!$C$5:$C$64,"Severe")</x:f>
        <x:v>768173.1948008596</x:v>
      </x:c>
      <x:c r="E9" s="147" t="n">
        <x:f>SUMIFS(Cases!$R$5:$R$64,Cases!$A$5:$A$64,Inputs!$B$12,Cases!$B$5:$B$64,$A9,Cases!$C$5:$C$64,"Severe")</x:f>
        <x:v>918592.7591041668</x:v>
      </x:c>
      <x:c r="F9" s="169" t="n">
        <x:f>SUMIFS(Cases!$L$5:$L$64,Cases!$A$5:$A$64,Inputs!$B$12,Cases!$B$5:$B$64,$A9,Cases!$C$5:$C$64,"Stress")</x:f>
        <x:v>0</x:v>
      </x:c>
      <x:c r="G9" s="147" t="n">
        <x:f>SUMIFS(Cases!$Q$5:$Q$64,Cases!$A$5:$A$64,Inputs!$B$12,Cases!$B$5:$B$64,$A9,Cases!$C$5:$C$64,"Base")</x:f>
        <x:v>564934.5468490625</x:v>
      </x:c>
      <x:c r="H9" s="136" t="str">
        <x:f>IF(E9&lt;=Inputs!$B$13,"PASS","EXCEEDS")</x:f>
        <x:v>PASS</x:v>
      </x:c>
      <x:c r="I9" s="136" t="str">
        <x:f>IF(B9&lt;=Inputs!$B$14,"PASS","EXCEEDS")</x:f>
        <x:v>EXCEEDS</x:v>
      </x:c>
      <x:c r="J9" s="136" t="str">
        <x:f>IF(AND(H9="PASS",I9="PASS"),"QUALIFIES","REVIEW")</x:f>
        <x:v>REVIEW</x:v>
      </x:c>
      <x:c r="K9" s="136"/>
      <x:c r="L9" s="136"/>
    </x:row>
    <x:row r="10" ht="20" customHeight="1">
      <x:c r="A10" s="136" t="str">
        <x:v>Diversification-led</x:v>
      </x:c>
      <x:c r="B10" s="169" t="n">
        <x:f>SUMIFS(Cases!$L$5:$L$64,Cases!$A$5:$A$64,Inputs!$B$12,Cases!$B$5:$B$64,$A10,Cases!$C$5:$C$64,"Severe")</x:f>
        <x:v>16.65</x:v>
      </x:c>
      <x:c r="C10" s="146" t="n">
        <x:f>SUMIFS(Cases!$M$5:$M$64,Cases!$A$5:$A$64,Inputs!$B$12,Cases!$B$5:$B$64,$A10,Cases!$C$5:$C$64,"Severe")</x:f>
        <x:v>0.8335</x:v>
      </x:c>
      <x:c r="D10" s="147" t="n">
        <x:f>SUMIFS(Cases!$Q$5:$Q$64,Cases!$A$5:$A$64,Inputs!$B$12,Cases!$B$5:$B$64,$A10,Cases!$C$5:$C$64,"Severe")</x:f>
        <x:v>772995.8067861563</x:v>
      </x:c>
      <x:c r="E10" s="147" t="n">
        <x:f>SUMIFS(Cases!$R$5:$R$64,Cases!$A$5:$A$64,Inputs!$B$12,Cases!$B$5:$B$64,$A10,Cases!$C$5:$C$64,"Severe")</x:f>
        <x:v>1377889.13865625</x:v>
      </x:c>
      <x:c r="F10" s="169" t="n">
        <x:f>SUMIFS(Cases!$L$5:$L$64,Cases!$A$5:$A$64,Inputs!$B$12,Cases!$B$5:$B$64,$A10,Cases!$C$5:$C$64,"Stress")</x:f>
        <x:v>0</x:v>
      </x:c>
      <x:c r="G10" s="147" t="n">
        <x:f>SUMIFS(Cases!$Q$5:$Q$64,Cases!$A$5:$A$64,Inputs!$B$12,Cases!$B$5:$B$64,$A10,Cases!$C$5:$C$64,"Base")</x:f>
        <x:v>620050.1123953125</x:v>
      </x:c>
      <x:c r="H10" s="136" t="str">
        <x:f>IF(E10&lt;=Inputs!$B$13,"PASS","EXCEEDS")</x:f>
        <x:v>PASS</x:v>
      </x:c>
      <x:c r="I10" s="136" t="str">
        <x:f>IF(B10&lt;=Inputs!$B$14,"PASS","EXCEEDS")</x:f>
        <x:v>EXCEEDS</x:v>
      </x:c>
      <x:c r="J10" s="136" t="str">
        <x:f>IF(AND(H10="PASS",I10="PASS"),"QUALIFIES","REVIEW")</x:f>
        <x:v>REVIEW</x:v>
      </x:c>
      <x:c r="K10" s="136"/>
      <x:c r="L10" s="136"/>
    </x:row>
    <x:row r="11" ht="20" customHeight="1">
      <x:c r="A11" s="136" t="str">
        <x:v>Inventory-led</x:v>
      </x:c>
      <x:c r="B11" s="169" t="n">
        <x:f>SUMIFS(Cases!$L$5:$L$64,Cases!$A$5:$A$64,Inputs!$B$12,Cases!$B$5:$B$64,$A11,Cases!$C$5:$C$64,"Severe")</x:f>
        <x:v>0</x:v>
      </x:c>
      <x:c r="C11" s="146" t="n">
        <x:f>SUMIFS(Cases!$M$5:$M$64,Cases!$A$5:$A$64,Inputs!$B$12,Cases!$B$5:$B$64,$A11,Cases!$C$5:$C$64,"Severe")</x:f>
        <x:v>1</x:v>
      </x:c>
      <x:c r="D11" s="147" t="n">
        <x:f>SUMIFS(Cases!$Q$5:$Q$64,Cases!$A$5:$A$64,Inputs!$B$12,Cases!$B$5:$B$64,$A11,Cases!$C$5:$C$64,"Severe")</x:f>
        <x:v>702723.4607146875</x:v>
      </x:c>
      <x:c r="E11" s="147" t="n">
        <x:f>SUMIFS(Cases!$R$5:$R$64,Cases!$A$5:$A$64,Inputs!$B$12,Cases!$B$5:$B$64,$A11,Cases!$C$5:$C$64,"Severe")</x:f>
        <x:v>4133667.41596875</x:v>
      </x:c>
      <x:c r="F11" s="169" t="n">
        <x:f>SUMIFS(Cases!$L$5:$L$64,Cases!$A$5:$A$64,Inputs!$B$12,Cases!$B$5:$B$64,$A11,Cases!$C$5:$C$64,"Stress")</x:f>
        <x:v>0</x:v>
      </x:c>
      <x:c r="G11" s="147" t="n">
        <x:f>SUMIFS(Cases!$Q$5:$Q$64,Cases!$A$5:$A$64,Inputs!$B$12,Cases!$B$5:$B$64,$A11,Cases!$C$5:$C$64,"Base")</x:f>
        <x:v>702723.4607146875</x:v>
      </x:c>
      <x:c r="H11" s="136" t="str">
        <x:f>IF(E11&lt;=Inputs!$B$13,"PASS","EXCEEDS")</x:f>
        <x:v>EXCEEDS</x:v>
      </x:c>
      <x:c r="I11" s="136" t="str">
        <x:f>IF(B11&lt;=Inputs!$B$14,"PASS","EXCEEDS")</x:f>
        <x:v>PASS</x:v>
      </x:c>
      <x:c r="J11" s="136" t="str">
        <x:f>IF(AND(H11="PASS",I11="PASS"),"QUALIFIES","REVIEW")</x:f>
        <x:v>REVIEW</x:v>
      </x:c>
      <x:c r="K11" s="136"/>
      <x:c r="L11" s="136"/>
    </x:row>
    <x:row r="12" ht="20" customHeight="1">
      <x:c r="A12" s="174" t="str">
        <x:v>Balanced</x:v>
      </x:c>
      <x:c r="B12" s="175" t="n">
        <x:f>SUMIFS(Cases!$L$5:$L$64,Cases!$A$5:$A$64,Inputs!$B$12,Cases!$B$5:$B$64,$A12,Cases!$C$5:$C$64,"Severe")</x:f>
        <x:v>0</x:v>
      </x:c>
      <x:c r="C12" s="176" t="n">
        <x:f>SUMIFS(Cases!$M$5:$M$64,Cases!$A$5:$A$64,Inputs!$B$12,Cases!$B$5:$B$64,$A12,Cases!$C$5:$C$64,"Severe")</x:f>
        <x:v>1</x:v>
      </x:c>
      <x:c r="D12" s="177" t="n">
        <x:f>SUMIFS(Cases!$Q$5:$Q$64,Cases!$A$5:$A$64,Inputs!$B$12,Cases!$B$5:$B$64,$A12,Cases!$C$5:$C$64,"Severe")</x:f>
        <x:v>812954.5918071874</x:v>
      </x:c>
      <x:c r="E12" s="177" t="n">
        <x:f>SUMIFS(Cases!$R$5:$R$64,Cases!$A$5:$A$64,Inputs!$B$12,Cases!$B$5:$B$64,$A12,Cases!$C$5:$C$64,"Severe")</x:f>
        <x:v>2296481.8977604164</x:v>
      </x:c>
      <x:c r="F12" s="175" t="n">
        <x:f>SUMIFS(Cases!$L$5:$L$64,Cases!$A$5:$A$64,Inputs!$B$12,Cases!$B$5:$B$64,$A12,Cases!$C$5:$C$64,"Stress")</x:f>
        <x:v>0</x:v>
      </x:c>
      <x:c r="G12" s="177" t="n">
        <x:f>SUMIFS(Cases!$Q$5:$Q$64,Cases!$A$5:$A$64,Inputs!$B$12,Cases!$B$5:$B$64,$A12,Cases!$C$5:$C$64,"Base")</x:f>
        <x:v>812954.5918071874</x:v>
      </x:c>
      <x:c r="H12" s="174" t="str">
        <x:f>IF(E12&lt;=Inputs!$B$13,"PASS","EXCEEDS")</x:f>
        <x:v>PASS</x:v>
      </x:c>
      <x:c r="I12" s="174" t="str">
        <x:f>IF(B12&lt;=Inputs!$B$14,"PASS","EXCEEDS")</x:f>
        <x:v>PASS</x:v>
      </x:c>
      <x:c r="J12" s="174" t="str">
        <x:f>IF(AND(H12="PASS",I12="PASS"),"QUALIFIES","REVIEW")</x:f>
        <x:v>QUALIFIES</x:v>
      </x:c>
      <x:c r="K12" s="136"/>
      <x:c r="L12" s="136"/>
    </x:row>
    <x:row r="13" ht="20" customHeight="1">
      <x:c r="A13" s="136"/>
      <x:c r="B13" s="136"/>
      <x:c r="C13" s="136"/>
      <x:c r="D13" s="136"/>
      <x:c r="E13" s="136"/>
      <x:c r="F13" s="136"/>
      <x:c r="G13" s="136"/>
      <x:c r="H13" s="136"/>
      <x:c r="I13" s="136"/>
      <x:c r="J13" s="136"/>
      <x:c r="K13" s="136"/>
      <x:c r="L13" s="136"/>
    </x:row>
    <x:row r="14" ht="20" customHeight="1">
      <x:c r="A14" s="136"/>
      <x:c r="B14" s="136"/>
      <x:c r="C14" s="136"/>
      <x:c r="D14" s="136"/>
      <x:c r="E14" s="136"/>
      <x:c r="F14" s="136"/>
      <x:c r="G14" s="136"/>
      <x:c r="H14" s="136"/>
      <x:c r="I14" s="136"/>
      <x:c r="J14" s="136"/>
      <x:c r="K14" s="136"/>
      <x:c r="L14" s="136"/>
    </x:row>
    <x:row r="15" ht="28" customHeight="1">
      <x:c r="A15" s="133" t="str">
        <x:f>"PROVISIONAL DECISION  |  BALANCED / "&amp;Options!E9&amp;"-MONTH STOCK"</x:f>
        <x:v>PROVISIONAL DECISION  |  BALANCED / 5-MONTH STOCK</x:v>
      </x:c>
      <x:c r="B15" s="133"/>
      <x:c r="C15" s="133"/>
      <x:c r="D15" s="133"/>
      <x:c r="E15" s="133"/>
      <x:c r="F15" s="133"/>
      <x:c r="G15" s="133"/>
      <x:c r="H15" s="133"/>
      <x:c r="I15" s="133"/>
      <x:c r="J15" s="133"/>
      <x:c r="K15" s="136"/>
      <x:c r="L15" s="136"/>
    </x:row>
    <x:row r="16" ht="20" customHeight="1">
      <x:c r="A16" s="136"/>
      <x:c r="B16" s="136"/>
      <x:c r="C16" s="136"/>
      <x:c r="D16" s="136"/>
      <x:c r="E16" s="136"/>
      <x:c r="F16" s="136"/>
      <x:c r="G16" s="136"/>
      <x:c r="H16" s="136"/>
      <x:c r="I16" s="136"/>
      <x:c r="J16" s="136"/>
      <x:c r="K16" s="136"/>
      <x:c r="L16" s="136"/>
    </x:row>
    <x:row r="17" ht="30" customHeight="1">
      <x:c r="A17" s="179" t="str">
        <x:f>ROUND(Options!C9*100,0)&amp;"% alternative imports"</x:f>
        <x:v>45% alternative imports</x:v>
      </x:c>
      <x:c r="B17" s="179"/>
      <x:c r="C17" s="179"/>
      <x:c r="D17" s="179" t="str">
        <x:f>ROUND(Options!D9*100,0)&amp;"% future domestic target"</x:f>
        <x:v>30% future domestic target</x:v>
      </x:c>
      <x:c r="E17" s="179"/>
      <x:c r="F17" s="179"/>
      <x:c r="G17" s="179" t="str">
        <x:f>Options!E9&amp;" months provisional stock"</x:f>
        <x:v>5 months provisional stock</x:v>
      </x:c>
      <x:c r="H17" s="179"/>
      <x:c r="I17" s="179"/>
      <x:c r="J17" s="179"/>
      <x:c r="K17" s="136"/>
      <x:c r="L17" s="136"/>
    </x:row>
    <x:row r="18" ht="20" customHeight="1">
      <x:c r="A18" s="136"/>
      <x:c r="B18" s="136"/>
      <x:c r="C18" s="136"/>
      <x:c r="D18" s="136"/>
      <x:c r="E18" s="136"/>
      <x:c r="F18" s="136"/>
      <x:c r="G18" s="136"/>
      <x:c r="H18" s="136"/>
      <x:c r="I18" s="136"/>
      <x:c r="J18" s="136"/>
      <x:c r="K18" s="136"/>
      <x:c r="L18" s="136"/>
    </x:row>
    <x:row r="19" ht="20" customHeight="1">
      <x:c r="A19" s="136"/>
      <x:c r="B19" s="136"/>
      <x:c r="C19" s="136"/>
      <x:c r="D19" s="136"/>
      <x:c r="E19" s="136"/>
      <x:c r="F19" s="136"/>
      <x:c r="G19" s="136"/>
      <x:c r="H19" s="136"/>
      <x:c r="I19" s="136"/>
      <x:c r="J19" s="136"/>
      <x:c r="K19" s="136"/>
      <x:c r="L19" s="136"/>
    </x:row>
    <x:row r="20" ht="25" customHeight="1">
      <x:c r="A20" s="181" t="str">
        <x:v>DECISION  |  Approve supplier qualification and procurement diligence immediately. Use five months of grade-qualified starting inventory as the case design (subject to capital and storage review); retain the option to raise to six months if supplier independence or shock duration deteriorates. Advance domestic offtake on verified financing, processing, qualification and delivery evidence.</x:v>
      </x:c>
      <x:c r="B20" s="181"/>
      <x:c r="C20" s="181"/>
      <x:c r="D20" s="181"/>
      <x:c r="E20" s="181"/>
      <x:c r="F20" s="181"/>
      <x:c r="G20" s="181"/>
      <x:c r="H20" s="181"/>
      <x:c r="I20" s="181"/>
      <x:c r="J20" s="181"/>
      <x:c r="K20" s="136"/>
      <x:c r="L20" s="136"/>
    </x:row>
    <x:row r="21" ht="25" customHeight="1">
      <x:c r="A21" s="181"/>
      <x:c r="B21" s="181"/>
      <x:c r="C21" s="181"/>
      <x:c r="D21" s="181"/>
      <x:c r="E21" s="181"/>
      <x:c r="F21" s="181"/>
      <x:c r="G21" s="181"/>
      <x:c r="H21" s="181"/>
      <x:c r="I21" s="181"/>
      <x:c r="J21" s="181"/>
      <x:c r="K21" s="136"/>
      <x:c r="L21" s="136"/>
    </x:row>
    <x:row r="22" ht="25" customHeight="1">
      <x:c r="A22" s="181"/>
      <x:c r="B22" s="181"/>
      <x:c r="C22" s="181"/>
      <x:c r="D22" s="181"/>
      <x:c r="E22" s="181"/>
      <x:c r="F22" s="181"/>
      <x:c r="G22" s="181"/>
      <x:c r="H22" s="181"/>
      <x:c r="I22" s="181"/>
      <x:c r="J22" s="181"/>
      <x:c r="K22" s="136"/>
      <x:c r="L22" s="136"/>
    </x:row>
    <x:row r="23" ht="20" customHeight="1">
      <x:c r="A23" s="136"/>
      <x:c r="B23" s="136"/>
      <x:c r="C23" s="136"/>
      <x:c r="D23" s="136"/>
      <x:c r="E23" s="136"/>
      <x:c r="F23" s="136"/>
      <x:c r="G23" s="136"/>
      <x:c r="H23" s="136"/>
      <x:c r="I23" s="136"/>
      <x:c r="J23" s="136"/>
      <x:c r="K23" s="136"/>
      <x:c r="L23" s="136"/>
    </x:row>
    <x:row r="24" ht="20" customHeight="1">
      <x:c r="A24" s="139" t="str">
        <x:v>MODEL INTERPRETATION  |  Incremental spend combines planned source-mix premiums, annual carrying costs and emergency spot premium for one stress event. Inventory acquisition is working capital, shown separately. Spot purchase principal, stock replenishment, plant interruption loss and supplier bids require buyer-specific data. Annual events reset the buffer.</x:v>
      </x:c>
      <x:c r="B24" s="139"/>
      <x:c r="C24" s="139"/>
      <x:c r="D24" s="139"/>
      <x:c r="E24" s="139"/>
      <x:c r="F24" s="139"/>
      <x:c r="G24" s="139"/>
      <x:c r="H24" s="139"/>
      <x:c r="I24" s="139"/>
      <x:c r="J24" s="139"/>
      <x:c r="K24" s="136"/>
      <x:c r="L24" s="136"/>
    </x:row>
    <x:row r="25" ht="20" customHeight="1">
      <x:c r="A25" s="139"/>
      <x:c r="B25" s="139"/>
      <x:c r="C25" s="139"/>
      <x:c r="D25" s="139"/>
      <x:c r="E25" s="139"/>
      <x:c r="F25" s="139"/>
      <x:c r="G25" s="139"/>
      <x:c r="H25" s="139"/>
      <x:c r="I25" s="139"/>
      <x:c r="J25" s="139"/>
      <x:c r="K25" s="136"/>
      <x:c r="L25" s="136"/>
    </x:row>
    <x:row r="26" ht="20" customHeight="1">
      <x:c r="A26" s="139"/>
      <x:c r="B26" s="139"/>
      <x:c r="C26" s="139"/>
      <x:c r="D26" s="139"/>
      <x:c r="E26" s="139"/>
      <x:c r="F26" s="139"/>
      <x:c r="G26" s="139"/>
      <x:c r="H26" s="139"/>
      <x:c r="I26" s="139"/>
      <x:c r="J26" s="139"/>
      <x:c r="K26" s="136"/>
      <x:c r="L26" s="136"/>
    </x:row>
    <x:row r="27" ht="20" customHeight="1">
      <x:c r="A27" s="136"/>
      <x:c r="B27" s="136"/>
      <x:c r="C27" s="136"/>
      <x:c r="D27" s="136"/>
      <x:c r="E27" s="136"/>
      <x:c r="F27" s="136"/>
      <x:c r="G27" s="136"/>
      <x:c r="H27" s="136"/>
      <x:c r="I27" s="136"/>
      <x:c r="J27" s="136"/>
      <x:c r="K27" s="136"/>
      <x:c r="L27" s="136"/>
    </x:row>
    <x:row r="28" ht="20" customHeight="1">
      <x:c r="A28" s="136"/>
      <x:c r="B28" s="136"/>
      <x:c r="C28" s="136"/>
      <x:c r="D28" s="136"/>
      <x:c r="E28" s="136"/>
      <x:c r="F28" s="136"/>
      <x:c r="G28" s="136"/>
      <x:c r="H28" s="136"/>
      <x:c r="I28" s="136"/>
      <x:c r="J28" s="136"/>
      <x:c r="K28" s="136"/>
      <x:c r="L28" s="136"/>
    </x:row>
    <x:row r="29" ht="20" customHeight="1">
      <x:c r="A29" s="136"/>
      <x:c r="B29" s="136"/>
      <x:c r="C29" s="136"/>
      <x:c r="D29" s="136"/>
      <x:c r="E29" s="136"/>
      <x:c r="F29" s="136"/>
      <x:c r="G29" s="136"/>
      <x:c r="H29" s="136"/>
      <x:c r="I29" s="136"/>
      <x:c r="J29" s="136"/>
      <x:c r="K29" s="136"/>
      <x:c r="L29" s="136"/>
    </x:row>
    <x:row r="30" ht="20" customHeight="1">
      <x:c r="A30" s="136"/>
      <x:c r="B30" s="136"/>
      <x:c r="C30" s="136"/>
      <x:c r="D30" s="136"/>
      <x:c r="E30" s="136"/>
      <x:c r="F30" s="136"/>
      <x:c r="G30" s="136"/>
      <x:c r="H30" s="136"/>
      <x:c r="I30" s="136"/>
      <x:c r="J30" s="136"/>
      <x:c r="K30" s="136"/>
      <x:c r="L30" s="136"/>
    </x:row>
    <x:row r="31" ht="20" customHeight="1">
      <x:c r="A31" s="136"/>
      <x:c r="B31" s="136"/>
      <x:c r="C31" s="136"/>
      <x:c r="D31" s="136"/>
      <x:c r="E31" s="136"/>
      <x:c r="F31" s="136"/>
      <x:c r="G31" s="136"/>
      <x:c r="H31" s="136"/>
      <x:c r="I31" s="136"/>
      <x:c r="J31" s="136"/>
      <x:c r="K31" s="136"/>
      <x:c r="L31" s="136"/>
    </x:row>
    <x:row r="32" ht="20" customHeight="1">
      <x:c r="A32" s="136"/>
      <x:c r="B32" s="136"/>
      <x:c r="C32" s="136"/>
      <x:c r="D32" s="136"/>
      <x:c r="E32" s="136"/>
      <x:c r="F32" s="136"/>
      <x:c r="G32" s="136"/>
      <x:c r="H32" s="136"/>
      <x:c r="I32" s="136"/>
      <x:c r="J32" s="136"/>
      <x:c r="K32" s="136"/>
      <x:c r="L32" s="136"/>
    </x:row>
    <x:row r="33" ht="20" customHeight="1">
      <x:c r="A33" s="136"/>
      <x:c r="B33" s="136"/>
      <x:c r="C33" s="136"/>
      <x:c r="D33" s="136"/>
      <x:c r="E33" s="136"/>
      <x:c r="F33" s="136"/>
      <x:c r="G33" s="136"/>
      <x:c r="H33" s="136"/>
      <x:c r="I33" s="136"/>
      <x:c r="J33" s="136"/>
      <x:c r="K33" s="136"/>
      <x:c r="L33" s="136"/>
    </x:row>
  </x:sheetData>
  <x:mergeCells>
    <x:mergeCell ref="A1:L2"/>
    <x:mergeCell ref="A15:J15"/>
    <x:mergeCell ref="A20:J22"/>
    <x:mergeCell ref="A24:J26"/>
  </x:mergeCells>
  <x:pageMargins left="0.7" right="0.7" top="0.75" bottom="0.75" header="0.3" footer="0.3"/>
  <x:drawing xmlns:r="http://schemas.openxmlformats.org/officeDocument/2006/relationships" r:id="R70cd74b727404e26"/>
</x:worksheet>
</file>

<file path=xl/worksheets/sheet11.xml><?xml version="1.0" encoding="utf-8"?>
<x:worksheet xmlns:x="http://schemas.openxmlformats.org/spreadsheetml/2006/main">
  <x:sheetFormatPr defaultRowHeight="15"/>
  <x:cols>
    <x:col min="1" max="1" width="27" hidden="0" customWidth="1"/>
    <x:col min="2" max="2" width="19" hidden="0" customWidth="1"/>
    <x:col min="3" max="3" width="19" hidden="0" customWidth="1"/>
    <x:col min="4" max="4" width="19" hidden="0" customWidth="1"/>
    <x:col min="5" max="5" width="19" hidden="0" customWidth="1"/>
    <x:col min="6" max="6" width="19" hidden="0" customWidth="1"/>
    <x:col min="7" max="7" width="20" hidden="0" customWidth="1"/>
    <x:col min="8" max="8" width="20" hidden="0" customWidth="1"/>
    <x:col min="9" max="9" width="20" hidden="0" customWidth="1"/>
    <x:col min="10" max="10" width="20" hidden="0" customWidth="1"/>
  </x:cols>
  <x:sheetData>
    <x:row r="1" ht="29" customHeight="1">
      <x:c r="A1" s="133" t="str">
        <x:v>SENSITIVITY  |  BALANCED 2030 SEVERE</x:v>
      </x:c>
      <x:c r="B1" s="133"/>
      <x:c r="C1" s="133"/>
      <x:c r="D1" s="133"/>
      <x:c r="E1" s="133"/>
      <x:c r="F1" s="133"/>
      <x:c r="G1" s="133"/>
      <x:c r="H1" s="133"/>
      <x:c r="I1" s="133"/>
      <x:c r="J1" s="133"/>
    </x:row>
    <x:row r="2" ht="29" customHeight="1">
      <x:c r="A2" s="133"/>
      <x:c r="B2" s="133"/>
      <x:c r="C2" s="133"/>
      <x:c r="D2" s="133"/>
      <x:c r="E2" s="133"/>
      <x:c r="F2" s="133"/>
      <x:c r="G2" s="133"/>
      <x:c r="H2" s="133"/>
      <x:c r="I2" s="133"/>
      <x:c r="J2" s="133"/>
    </x:row>
    <x:row r="3" ht="25" customHeight="1">
      <x:c r="A3" s="135" t="str">
        <x:v>Grid 1: residual gap (t) vs alternative import curtailment and stock months • Grid 2: incremental spend ($) vs alternative premium and stock months</x:v>
      </x:c>
      <x:c r="B3" s="135"/>
      <x:c r="C3" s="135"/>
      <x:c r="D3" s="135"/>
      <x:c r="E3" s="135"/>
      <x:c r="F3" s="135"/>
      <x:c r="G3" s="135"/>
      <x:c r="H3" s="135"/>
      <x:c r="I3" s="135"/>
      <x:c r="J3" s="135"/>
    </x:row>
    <x:row r="4" ht="20" customHeight="1">
      <x:c r="A4" s="136"/>
      <x:c r="B4" s="136"/>
      <x:c r="C4" s="136"/>
      <x:c r="D4" s="136"/>
      <x:c r="E4" s="136"/>
      <x:c r="F4" s="136"/>
      <x:c r="G4" s="136"/>
      <x:c r="H4" s="136"/>
      <x:c r="I4" s="136"/>
      <x:c r="J4" s="136"/>
    </x:row>
    <x:row r="5" ht="20" customHeight="1">
      <x:c r="A5" s="136" t="str">
        <x:v>Alternative loss ↓ / Buffer →</x:v>
      </x:c>
      <x:c r="B5" s="136"/>
      <x:c r="C5" s="136"/>
      <x:c r="D5" s="136"/>
      <x:c r="E5" s="136"/>
      <x:c r="F5" s="136"/>
      <x:c r="G5" s="136"/>
      <x:c r="H5" s="136"/>
      <x:c r="I5" s="136"/>
      <x:c r="J5" s="136"/>
    </x:row>
    <x:row r="6" ht="25" customHeight="1">
      <x:c r="A6" s="140" t="str">
        <x:v>Alternative curtailed</x:v>
      </x:c>
      <x:c r="B6" s="140" t="str">
        <x:v>0 months</x:v>
      </x:c>
      <x:c r="C6" s="140" t="str">
        <x:v>3 months</x:v>
      </x:c>
      <x:c r="D6" s="140" t="str">
        <x:f>Options!E9&amp;" months"</x:f>
        <x:v>5 months</x:v>
      </x:c>
      <x:c r="E6" s="140" t="str">
        <x:v>9 months</x:v>
      </x:c>
      <x:c r="F6" s="140" t="str">
        <x:v>12 months</x:v>
      </x:c>
      <x:c r="G6" s="140"/>
      <x:c r="H6" s="140" t="str">
        <x:v>Stock-cap benchmark</x:v>
      </x:c>
      <x:c r="I6" s="140"/>
      <x:c r="J6" s="140"/>
    </x:row>
    <x:row r="7" ht="20" customHeight="1">
      <x:c r="A7" s="136"/>
      <x:c r="B7" s="149" t="n">
        <x:v>0</x:v>
      </x:c>
      <x:c r="C7" s="149" t="n">
        <x:v>3</x:v>
      </x:c>
      <x:c r="D7" s="149" t="n">
        <x:f>Options!E9</x:f>
        <x:v>5</x:v>
      </x:c>
      <x:c r="E7" s="149" t="n">
        <x:v>9</x:v>
      </x:c>
      <x:c r="F7" s="149" t="n">
        <x:v>12</x:v>
      </x:c>
      <x:c r="G7" s="136"/>
      <x:c r="H7" s="136" t="str">
        <x:v>Price break-even ($/lb)</x:v>
      </x:c>
      <x:c r="I7" s="182" t="n">
        <x:f>Inputs!$B$13/(Inputs!$B$6*Options!$E$9/12)/Inputs!$B$7</x:f>
        <x:v>32.658650639981865</x:v>
      </x:c>
      <x:c r="J7" s="136"/>
    </x:row>
    <x:row r="8" ht="20" customHeight="1">
      <x:c r="A8" s="153" t="n">
        <x:v>0.2</x:v>
      </x:c>
      <x:c r="B8" s="183" t="n">
        <x:f>MAX(0,Inputs!$B$6*Scenarios!$B$8/12*((1-Options!$C$9-Options!$D$9*Ramp!$B$9)*Scenarios!$C$8+Options!$C$9*$A8+Options!$D$9*Ramp!$B$9*Scenarios!$E$8)-Inputs!$B$6*B$7/12)*(1-Scenarios!$F$8)</x:f>
        <x:v>28.35000000000001</x:v>
      </x:c>
      <x:c r="C8" s="183" t="n">
        <x:f>MAX(0,Inputs!$B$6*Scenarios!$B$8/12*((1-Options!$C$9-Options!$D$9*Ramp!$B$9)*Scenarios!$C$8+Options!$C$9*$A8+Options!$D$9*Ramp!$B$9*Scenarios!$E$8)-Inputs!$B$6*C$7/12)*(1-Scenarios!$F$8)</x:f>
        <x:v>5.850000000000007</x:v>
      </x:c>
      <x:c r="D8" s="183" t="n">
        <x:f>MAX(0,Inputs!$B$6*Scenarios!$B$8/12*((1-Options!$C$9-Options!$D$9*Ramp!$B$9)*Scenarios!$C$8+Options!$C$9*$A8+Options!$D$9*Ramp!$B$9*Scenarios!$E$8)-Inputs!$B$6*D$7/12)*(1-Scenarios!$F$8)</x:f>
        <x:v>0</x:v>
      </x:c>
      <x:c r="E8" s="183" t="n">
        <x:f>MAX(0,Inputs!$B$6*Scenarios!$B$8/12*((1-Options!$C$9-Options!$D$9*Ramp!$B$9)*Scenarios!$C$8+Options!$C$9*$A8+Options!$D$9*Ramp!$B$9*Scenarios!$E$8)-Inputs!$B$6*E$7/12)*(1-Scenarios!$F$8)</x:f>
        <x:v>0</x:v>
      </x:c>
      <x:c r="F8" s="183" t="n">
        <x:f>MAX(0,Inputs!$B$6*Scenarios!$B$8/12*((1-Options!$C$9-Options!$D$9*Ramp!$B$9)*Scenarios!$C$8+Options!$C$9*$A8+Options!$D$9*Ramp!$B$9*Scenarios!$E$8)-Inputs!$B$6*F$7/12)*(1-Scenarios!$F$8)</x:f>
        <x:v>0</x:v>
      </x:c>
      <x:c r="G8" s="136"/>
      <x:c r="H8" s="136" t="str">
        <x:v>USGS 2025 ($/lb)</x:v>
      </x:c>
      <x:c r="I8" s="182" t="n">
        <x:f>History!C10</x:f>
        <x:v>25</x:v>
      </x:c>
      <x:c r="J8" s="136"/>
    </x:row>
    <x:row r="9" ht="20" customHeight="1">
      <x:c r="A9" s="153" t="n">
        <x:v>0.35</x:v>
      </x:c>
      <x:c r="B9" s="183" t="n">
        <x:f>MAX(0,Inputs!$B$6*Scenarios!$B$8/12*((1-Options!$C$9-Options!$D$9*Ramp!$B$9)*Scenarios!$C$8+Options!$C$9*$A9+Options!$D$9*Ramp!$B$9*Scenarios!$E$8)-Inputs!$B$6*B$7/12)*(1-Scenarios!$F$8)</x:f>
        <x:v>32.400000000000006</x:v>
      </x:c>
      <x:c r="C9" s="183" t="n">
        <x:f>MAX(0,Inputs!$B$6*Scenarios!$B$8/12*((1-Options!$C$9-Options!$D$9*Ramp!$B$9)*Scenarios!$C$8+Options!$C$9*$A9+Options!$D$9*Ramp!$B$9*Scenarios!$E$8)-Inputs!$B$6*C$7/12)*(1-Scenarios!$F$8)</x:f>
        <x:v>9.900000000000007</x:v>
      </x:c>
      <x:c r="D9" s="183" t="n">
        <x:f>MAX(0,Inputs!$B$6*Scenarios!$B$8/12*((1-Options!$C$9-Options!$D$9*Ramp!$B$9)*Scenarios!$C$8+Options!$C$9*$A9+Options!$D$9*Ramp!$B$9*Scenarios!$E$8)-Inputs!$B$6*D$7/12)*(1-Scenarios!$F$8)</x:f>
        <x:v>0</x:v>
      </x:c>
      <x:c r="E9" s="183" t="n">
        <x:f>MAX(0,Inputs!$B$6*Scenarios!$B$8/12*((1-Options!$C$9-Options!$D$9*Ramp!$B$9)*Scenarios!$C$8+Options!$C$9*$A9+Options!$D$9*Ramp!$B$9*Scenarios!$E$8)-Inputs!$B$6*E$7/12)*(1-Scenarios!$F$8)</x:f>
        <x:v>0</x:v>
      </x:c>
      <x:c r="F9" s="183" t="n">
        <x:f>MAX(0,Inputs!$B$6*Scenarios!$B$8/12*((1-Options!$C$9-Options!$D$9*Ramp!$B$9)*Scenarios!$C$8+Options!$C$9*$A9+Options!$D$9*Ramp!$B$9*Scenarios!$E$8)-Inputs!$B$6*F$7/12)*(1-Scenarios!$F$8)</x:f>
        <x:v>0</x:v>
      </x:c>
      <x:c r="G9" s="136"/>
      <x:c r="H9" s="136" t="str">
        <x:v>Price headroom (%)</x:v>
      </x:c>
      <x:c r="I9" s="146" t="n">
        <x:f>I7/I8-1</x:f>
        <x:v>0.3063460255992745</x:v>
      </x:c>
      <x:c r="J9" s="136"/>
    </x:row>
    <x:row r="10" ht="20" customHeight="1">
      <x:c r="A10" s="153" t="n">
        <x:f>Scenarios!D8</x:f>
        <x:v>0.45</x:v>
      </x:c>
      <x:c r="B10" s="183" t="n">
        <x:f>MAX(0,Inputs!$B$6*Scenarios!$B$8/12*((1-Options!$C$9-Options!$D$9*Ramp!$B$9)*Scenarios!$C$8+Options!$C$9*$A10+Options!$D$9*Ramp!$B$9*Scenarios!$E$8)-Inputs!$B$6*B$7/12)*(1-Scenarios!$F$8)</x:f>
        <x:v>35.1</x:v>
      </x:c>
      <x:c r="C10" s="183" t="n">
        <x:f>MAX(0,Inputs!$B$6*Scenarios!$B$8/12*((1-Options!$C$9-Options!$D$9*Ramp!$B$9)*Scenarios!$C$8+Options!$C$9*$A10+Options!$D$9*Ramp!$B$9*Scenarios!$E$8)-Inputs!$B$6*C$7/12)*(1-Scenarios!$F$8)</x:f>
        <x:v>12.6</x:v>
      </x:c>
      <x:c r="D10" s="183" t="n">
        <x:f>MAX(0,Inputs!$B$6*Scenarios!$B$8/12*((1-Options!$C$9-Options!$D$9*Ramp!$B$9)*Scenarios!$C$8+Options!$C$9*$A10+Options!$D$9*Ramp!$B$9*Scenarios!$E$8)-Inputs!$B$6*D$7/12)*(1-Scenarios!$F$8)</x:f>
        <x:v>0</x:v>
      </x:c>
      <x:c r="E10" s="183" t="n">
        <x:f>MAX(0,Inputs!$B$6*Scenarios!$B$8/12*((1-Options!$C$9-Options!$D$9*Ramp!$B$9)*Scenarios!$C$8+Options!$C$9*$A10+Options!$D$9*Ramp!$B$9*Scenarios!$E$8)-Inputs!$B$6*E$7/12)*(1-Scenarios!$F$8)</x:f>
        <x:v>0</x:v>
      </x:c>
      <x:c r="F10" s="183" t="n">
        <x:f>MAX(0,Inputs!$B$6*Scenarios!$B$8/12*((1-Options!$C$9-Options!$D$9*Ramp!$B$9)*Scenarios!$C$8+Options!$C$9*$A10+Options!$D$9*Ramp!$B$9*Scenarios!$E$8)-Inputs!$B$6*F$7/12)*(1-Scenarios!$F$8)</x:f>
        <x:v>0</x:v>
      </x:c>
      <x:c r="G10" s="136"/>
      <x:c r="H10" s="136"/>
      <x:c r="I10" s="136"/>
      <x:c r="J10" s="136"/>
    </x:row>
    <x:row r="11" ht="20" customHeight="1">
      <x:c r="A11" s="153" t="n">
        <x:v>0.6</x:v>
      </x:c>
      <x:c r="B11" s="183" t="n">
        <x:f>MAX(0,Inputs!$B$6*Scenarios!$B$8/12*((1-Options!$C$9-Options!$D$9*Ramp!$B$9)*Scenarios!$C$8+Options!$C$9*$A11+Options!$D$9*Ramp!$B$9*Scenarios!$E$8)-Inputs!$B$6*B$7/12)*(1-Scenarios!$F$8)</x:f>
        <x:v>39.150000000000006</x:v>
      </x:c>
      <x:c r="C11" s="183" t="n">
        <x:f>MAX(0,Inputs!$B$6*Scenarios!$B$8/12*((1-Options!$C$9-Options!$D$9*Ramp!$B$9)*Scenarios!$C$8+Options!$C$9*$A11+Options!$D$9*Ramp!$B$9*Scenarios!$E$8)-Inputs!$B$6*C$7/12)*(1-Scenarios!$F$8)</x:f>
        <x:v>16.650000000000006</x:v>
      </x:c>
      <x:c r="D11" s="183" t="n">
        <x:f>MAX(0,Inputs!$B$6*Scenarios!$B$8/12*((1-Options!$C$9-Options!$D$9*Ramp!$B$9)*Scenarios!$C$8+Options!$C$9*$A11+Options!$D$9*Ramp!$B$9*Scenarios!$E$8)-Inputs!$B$6*D$7/12)*(1-Scenarios!$F$8)</x:f>
        <x:v>1.6500000000000086</x:v>
      </x:c>
      <x:c r="E11" s="183" t="n">
        <x:f>MAX(0,Inputs!$B$6*Scenarios!$B$8/12*((1-Options!$C$9-Options!$D$9*Ramp!$B$9)*Scenarios!$C$8+Options!$C$9*$A11+Options!$D$9*Ramp!$B$9*Scenarios!$E$8)-Inputs!$B$6*E$7/12)*(1-Scenarios!$F$8)</x:f>
        <x:v>0</x:v>
      </x:c>
      <x:c r="F11" s="183" t="n">
        <x:f>MAX(0,Inputs!$B$6*Scenarios!$B$8/12*((1-Options!$C$9-Options!$D$9*Ramp!$B$9)*Scenarios!$C$8+Options!$C$9*$A11+Options!$D$9*Ramp!$B$9*Scenarios!$E$8)-Inputs!$B$6*F$7/12)*(1-Scenarios!$F$8)</x:f>
        <x:v>0</x:v>
      </x:c>
      <x:c r="G11" s="136"/>
      <x:c r="H11" s="136"/>
      <x:c r="I11" s="136"/>
      <x:c r="J11" s="136"/>
    </x:row>
    <x:row r="12" ht="20" customHeight="1">
      <x:c r="A12" s="153" t="n">
        <x:v>0.75</x:v>
      </x:c>
      <x:c r="B12" s="183" t="n">
        <x:f>MAX(0,Inputs!$B$6*Scenarios!$B$8/12*((1-Options!$C$9-Options!$D$9*Ramp!$B$9)*Scenarios!$C$8+Options!$C$9*$A12+Options!$D$9*Ramp!$B$9*Scenarios!$E$8)-Inputs!$B$6*B$7/12)*(1-Scenarios!$F$8)</x:f>
        <x:v>43.2</x:v>
      </x:c>
      <x:c r="C12" s="183" t="n">
        <x:f>MAX(0,Inputs!$B$6*Scenarios!$B$8/12*((1-Options!$C$9-Options!$D$9*Ramp!$B$9)*Scenarios!$C$8+Options!$C$9*$A12+Options!$D$9*Ramp!$B$9*Scenarios!$E$8)-Inputs!$B$6*C$7/12)*(1-Scenarios!$F$8)</x:f>
        <x:v>20.7</x:v>
      </x:c>
      <x:c r="D12" s="183" t="n">
        <x:f>MAX(0,Inputs!$B$6*Scenarios!$B$8/12*((1-Options!$C$9-Options!$D$9*Ramp!$B$9)*Scenarios!$C$8+Options!$C$9*$A12+Options!$D$9*Ramp!$B$9*Scenarios!$E$8)-Inputs!$B$6*D$7/12)*(1-Scenarios!$F$8)</x:f>
        <x:v>5.700000000000002</x:v>
      </x:c>
      <x:c r="E12" s="183" t="n">
        <x:f>MAX(0,Inputs!$B$6*Scenarios!$B$8/12*((1-Options!$C$9-Options!$D$9*Ramp!$B$9)*Scenarios!$C$8+Options!$C$9*$A12+Options!$D$9*Ramp!$B$9*Scenarios!$E$8)-Inputs!$B$6*E$7/12)*(1-Scenarios!$F$8)</x:f>
        <x:v>0</x:v>
      </x:c>
      <x:c r="F12" s="183" t="n">
        <x:f>MAX(0,Inputs!$B$6*Scenarios!$B$8/12*((1-Options!$C$9-Options!$D$9*Ramp!$B$9)*Scenarios!$C$8+Options!$C$9*$A12+Options!$D$9*Ramp!$B$9*Scenarios!$E$8)-Inputs!$B$6*F$7/12)*(1-Scenarios!$F$8)</x:f>
        <x:v>0</x:v>
      </x:c>
      <x:c r="G12" s="136"/>
      <x:c r="H12" s="136"/>
      <x:c r="I12" s="136"/>
      <x:c r="J12" s="136"/>
    </x:row>
    <x:row r="13" ht="20" customHeight="1">
      <x:c r="A13" s="136"/>
      <x:c r="B13" s="136"/>
      <x:c r="C13" s="136"/>
      <x:c r="D13" s="136"/>
      <x:c r="E13" s="136"/>
      <x:c r="F13" s="136"/>
      <x:c r="G13" s="136"/>
      <x:c r="H13" s="136"/>
      <x:c r="I13" s="136"/>
      <x:c r="J13" s="136"/>
    </x:row>
    <x:row r="14" ht="20" customHeight="1">
      <x:c r="A14" s="136"/>
      <x:c r="B14" s="136"/>
      <x:c r="C14" s="136"/>
      <x:c r="D14" s="136"/>
      <x:c r="E14" s="136"/>
      <x:c r="F14" s="136"/>
      <x:c r="G14" s="136"/>
      <x:c r="H14" s="136"/>
      <x:c r="I14" s="136"/>
      <x:c r="J14" s="136"/>
    </x:row>
    <x:row r="15" ht="20" customHeight="1">
      <x:c r="A15" s="136"/>
      <x:c r="B15" s="136"/>
      <x:c r="C15" s="136"/>
      <x:c r="D15" s="136"/>
      <x:c r="E15" s="136"/>
      <x:c r="F15" s="136"/>
      <x:c r="G15" s="136"/>
      <x:c r="H15" s="136"/>
      <x:c r="I15" s="136"/>
      <x:c r="J15" s="136"/>
    </x:row>
    <x:row r="16" ht="20" customHeight="1">
      <x:c r="A16" s="136"/>
      <x:c r="B16" s="136"/>
      <x:c r="C16" s="136"/>
      <x:c r="D16" s="136"/>
      <x:c r="E16" s="136"/>
      <x:c r="F16" s="136"/>
      <x:c r="G16" s="136"/>
      <x:c r="H16" s="136"/>
      <x:c r="I16" s="136"/>
      <x:c r="J16" s="136"/>
    </x:row>
    <x:row r="17" ht="20" customHeight="1">
      <x:c r="A17" s="136"/>
      <x:c r="B17" s="136"/>
      <x:c r="C17" s="136"/>
      <x:c r="D17" s="136"/>
      <x:c r="E17" s="136"/>
      <x:c r="F17" s="136"/>
      <x:c r="G17" s="136"/>
      <x:c r="H17" s="136"/>
      <x:c r="I17" s="136"/>
      <x:c r="J17" s="136"/>
    </x:row>
    <x:row r="18" ht="20" customHeight="1">
      <x:c r="A18" s="139" t="str">
        <x:v>Curtailed alternative supplier volume is an analyst sensitivity. The center column uses the editable five-month stock policy; other curtailments use the Severe scenario parameters.</x:v>
      </x:c>
      <x:c r="B18" s="139"/>
      <x:c r="C18" s="139"/>
      <x:c r="D18" s="139"/>
      <x:c r="E18" s="139"/>
      <x:c r="F18" s="139"/>
      <x:c r="G18" s="139"/>
      <x:c r="H18" s="139"/>
      <x:c r="I18" s="139"/>
      <x:c r="J18" s="139"/>
    </x:row>
    <x:row r="19" ht="20" customHeight="1">
      <x:c r="A19" s="139"/>
      <x:c r="B19" s="139"/>
      <x:c r="C19" s="139"/>
      <x:c r="D19" s="139"/>
      <x:c r="E19" s="139"/>
      <x:c r="F19" s="139"/>
      <x:c r="G19" s="139"/>
      <x:c r="H19" s="139"/>
      <x:c r="I19" s="139"/>
      <x:c r="J19" s="139"/>
    </x:row>
    <x:row r="20" ht="20" customHeight="1">
      <x:c r="A20" s="136"/>
      <x:c r="B20" s="136"/>
      <x:c r="C20" s="136"/>
      <x:c r="D20" s="136"/>
      <x:c r="E20" s="136"/>
      <x:c r="F20" s="136"/>
      <x:c r="G20" s="136"/>
      <x:c r="H20" s="136"/>
      <x:c r="I20" s="136"/>
      <x:c r="J20" s="136"/>
    </x:row>
    <x:row r="21" ht="26" customHeight="1">
      <x:c r="A21" s="140" t="str">
        <x:v>Alt premium / Buffer</x:v>
      </x:c>
      <x:c r="B21" s="140" t="str">
        <x:v>0 months</x:v>
      </x:c>
      <x:c r="C21" s="140" t="str">
        <x:v>3 months</x:v>
      </x:c>
      <x:c r="D21" s="140" t="str">
        <x:f>Options!E9&amp;" months"</x:f>
        <x:v>5 months</x:v>
      </x:c>
      <x:c r="E21" s="140" t="str">
        <x:v>9 months</x:v>
      </x:c>
      <x:c r="F21" s="140" t="str">
        <x:v>12 months</x:v>
      </x:c>
      <x:c r="G21" s="140"/>
      <x:c r="H21" s="140"/>
      <x:c r="I21" s="140"/>
      <x:c r="J21" s="140"/>
    </x:row>
    <x:row r="22" ht="20" customHeight="1">
      <x:c r="A22" s="136"/>
      <x:c r="B22" s="149" t="n">
        <x:v>0</x:v>
      </x:c>
      <x:c r="C22" s="149" t="n">
        <x:v>3</x:v>
      </x:c>
      <x:c r="D22" s="149" t="n">
        <x:f>Options!E9</x:f>
        <x:v>5</x:v>
      </x:c>
      <x:c r="E22" s="149" t="n">
        <x:v>9</x:v>
      </x:c>
      <x:c r="F22" s="149" t="n">
        <x:v>12</x:v>
      </x:c>
      <x:c r="G22" s="136"/>
      <x:c r="H22" s="136"/>
      <x:c r="I22" s="136"/>
      <x:c r="J22" s="136"/>
    </x:row>
    <x:row r="23" ht="20" customHeight="1">
      <x:c r="A23" s="153" t="n">
        <x:v>0</x:v>
      </x:c>
      <x:c r="B23" s="147" t="n">
        <x:f>Inputs!$B$6*Inputs!$B$8*(Options!$C$9*$A23+Options!$D$9*Ramp!$B$9*Inputs!$B$10)+Inputs!$B$6*B$22/12*Inputs!$B$8*Inputs!$B$11++MAX(0,Inputs!$B$6*Scenarios!$B$8/12*((1-Options!$C$9-Options!$D$9*Ramp!$B$9)*Scenarios!$C$8+Options!$C$9*Scenarios!$D$8+Options!$D$9*Ramp!$B$9*Scenarios!$E$8)-Inputs!$B$6*B$22/12)*Scenarios!$F$8*Inputs!$B$8*Scenarios!$G$8</x:f>
        <x:v>487772.7550843125</x:v>
      </x:c>
      <x:c r="C23" s="147" t="n">
        <x:f>Inputs!$B$6*Inputs!$B$8*(Options!$C$9*$A23+Options!$D$9*Ramp!$B$9*Inputs!$B$10)+Inputs!$B$6*C$22/12*Inputs!$B$8*Inputs!$B$11++MAX(0,Inputs!$B$6*Scenarios!$B$8/12*((1-Options!$C$9-Options!$D$9*Ramp!$B$9)*Scenarios!$C$8+Options!$C$9*Scenarios!$D$8+Options!$D$9*Ramp!$B$9*Scenarios!$E$8)-Inputs!$B$6*C$22/12)*Scenarios!$F$8*Inputs!$B$8*Scenarios!$G$8</x:f>
        <x:v>446436.08092462504</x:v>
      </x:c>
      <x:c r="D23" s="147" t="n">
        <x:f>Inputs!$B$6*Inputs!$B$8*(Options!$C$9*$A23+Options!$D$9*Ramp!$B$9*Inputs!$B$10)+Inputs!$B$6*D$22/12*Inputs!$B$8*Inputs!$B$11++MAX(0,Inputs!$B$6*Scenarios!$B$8/12*((1-Options!$C$9-Options!$D$9*Ramp!$B$9)*Scenarios!$C$8+Options!$C$9*Scenarios!$D$8+Options!$D$9*Ramp!$B$9*Scenarios!$E$8)-Inputs!$B$6*D$22/12)*Scenarios!$F$8*Inputs!$B$8*Scenarios!$G$8</x:f>
        <x:v>440924.52437</x:v>
      </x:c>
      <x:c r="E23" s="147" t="n">
        <x:f>Inputs!$B$6*Inputs!$B$8*(Options!$C$9*$A23+Options!$D$9*Ramp!$B$9*Inputs!$B$10)+Inputs!$B$6*E$22/12*Inputs!$B$8*Inputs!$B$11++MAX(0,Inputs!$B$6*Scenarios!$B$8/12*((1-Options!$C$9-Options!$D$9*Ramp!$B$9)*Scenarios!$C$8+Options!$C$9*Scenarios!$D$8+Options!$D$9*Ramp!$B$9*Scenarios!$E$8)-Inputs!$B$6*E$22/12)*Scenarios!$F$8*Inputs!$B$8*Scenarios!$G$8</x:f>
        <x:v>661386.786555</x:v>
      </x:c>
      <x:c r="F23" s="147" t="n">
        <x:f>Inputs!$B$6*Inputs!$B$8*(Options!$C$9*$A23+Options!$D$9*Ramp!$B$9*Inputs!$B$10)+Inputs!$B$6*F$22/12*Inputs!$B$8*Inputs!$B$11++MAX(0,Inputs!$B$6*Scenarios!$B$8/12*((1-Options!$C$9-Options!$D$9*Ramp!$B$9)*Scenarios!$C$8+Options!$C$9*Scenarios!$D$8+Options!$D$9*Ramp!$B$9*Scenarios!$E$8)-Inputs!$B$6*F$22/12)*Scenarios!$F$8*Inputs!$B$8*Scenarios!$G$8</x:f>
        <x:v>826733.48319375</x:v>
      </x:c>
      <x:c r="G23" s="136"/>
      <x:c r="H23" s="136"/>
      <x:c r="I23" s="136"/>
      <x:c r="J23" s="136"/>
    </x:row>
    <x:row r="24" ht="20" customHeight="1">
      <x:c r="A24" s="153" t="n">
        <x:v>0.1</x:v>
      </x:c>
      <x:c r="B24" s="147" t="n">
        <x:f>Inputs!$B$6*Inputs!$B$8*(Options!$C$9*$A24+Options!$D$9*Ramp!$B$9*Inputs!$B$10)+Inputs!$B$6*B$22/12*Inputs!$B$8*Inputs!$B$11++MAX(0,Inputs!$B$6*Scenarios!$B$8/12*((1-Options!$C$9-Options!$D$9*Ramp!$B$9)*Scenarios!$C$8+Options!$C$9*Scenarios!$D$8+Options!$D$9*Ramp!$B$9*Scenarios!$E$8)-Inputs!$B$6*B$22/12)*Scenarios!$F$8*Inputs!$B$8*Scenarios!$G$8</x:f>
        <x:v>735792.8000424376</x:v>
      </x:c>
      <x:c r="C24" s="147" t="n">
        <x:f>Inputs!$B$6*Inputs!$B$8*(Options!$C$9*$A24+Options!$D$9*Ramp!$B$9*Inputs!$B$10)+Inputs!$B$6*C$22/12*Inputs!$B$8*Inputs!$B$11++MAX(0,Inputs!$B$6*Scenarios!$B$8/12*((1-Options!$C$9-Options!$D$9*Ramp!$B$9)*Scenarios!$C$8+Options!$C$9*Scenarios!$D$8+Options!$D$9*Ramp!$B$9*Scenarios!$E$8)-Inputs!$B$6*C$22/12)*Scenarios!$F$8*Inputs!$B$8*Scenarios!$G$8</x:f>
        <x:v>694456.12588275</x:v>
      </x:c>
      <x:c r="D24" s="147" t="n">
        <x:f>Inputs!$B$6*Inputs!$B$8*(Options!$C$9*$A24+Options!$D$9*Ramp!$B$9*Inputs!$B$10)+Inputs!$B$6*D$22/12*Inputs!$B$8*Inputs!$B$11++MAX(0,Inputs!$B$6*Scenarios!$B$8/12*((1-Options!$C$9-Options!$D$9*Ramp!$B$9)*Scenarios!$C$8+Options!$C$9*Scenarios!$D$8+Options!$D$9*Ramp!$B$9*Scenarios!$E$8)-Inputs!$B$6*D$22/12)*Scenarios!$F$8*Inputs!$B$8*Scenarios!$G$8</x:f>
        <x:v>688944.5693281251</x:v>
      </x:c>
      <x:c r="E24" s="147" t="n">
        <x:f>Inputs!$B$6*Inputs!$B$8*(Options!$C$9*$A24+Options!$D$9*Ramp!$B$9*Inputs!$B$10)+Inputs!$B$6*E$22/12*Inputs!$B$8*Inputs!$B$11++MAX(0,Inputs!$B$6*Scenarios!$B$8/12*((1-Options!$C$9-Options!$D$9*Ramp!$B$9)*Scenarios!$C$8+Options!$C$9*Scenarios!$D$8+Options!$D$9*Ramp!$B$9*Scenarios!$E$8)-Inputs!$B$6*E$22/12)*Scenarios!$F$8*Inputs!$B$8*Scenarios!$G$8</x:f>
        <x:v>909406.831513125</x:v>
      </x:c>
      <x:c r="F24" s="147" t="n">
        <x:f>Inputs!$B$6*Inputs!$B$8*(Options!$C$9*$A24+Options!$D$9*Ramp!$B$9*Inputs!$B$10)+Inputs!$B$6*F$22/12*Inputs!$B$8*Inputs!$B$11++MAX(0,Inputs!$B$6*Scenarios!$B$8/12*((1-Options!$C$9-Options!$D$9*Ramp!$B$9)*Scenarios!$C$8+Options!$C$9*Scenarios!$D$8+Options!$D$9*Ramp!$B$9*Scenarios!$E$8)-Inputs!$B$6*F$22/12)*Scenarios!$F$8*Inputs!$B$8*Scenarios!$G$8</x:f>
        <x:v>1074753.5281518751</x:v>
      </x:c>
      <x:c r="G24" s="136"/>
      <x:c r="H24" s="136"/>
      <x:c r="I24" s="136"/>
      <x:c r="J24" s="136"/>
    </x:row>
    <x:row r="25" ht="20" customHeight="1">
      <x:c r="A25" s="153" t="n">
        <x:f>Inputs!B9</x:f>
        <x:v>0.15</x:v>
      </x:c>
      <x:c r="B25" s="147" t="n">
        <x:f>Inputs!$B$6*Inputs!$B$8*(Options!$C$9*$A25+Options!$D$9*Ramp!$B$9*Inputs!$B$10)+Inputs!$B$6*B$22/12*Inputs!$B$8*Inputs!$B$11++MAX(0,Inputs!$B$6*Scenarios!$B$8/12*((1-Options!$C$9-Options!$D$9*Ramp!$B$9)*Scenarios!$C$8+Options!$C$9*Scenarios!$D$8+Options!$D$9*Ramp!$B$9*Scenarios!$E$8)-Inputs!$B$6*B$22/12)*Scenarios!$F$8*Inputs!$B$8*Scenarios!$G$8</x:f>
        <x:v>859802.8225214999</x:v>
      </x:c>
      <x:c r="C25" s="147" t="n">
        <x:f>Inputs!$B$6*Inputs!$B$8*(Options!$C$9*$A25+Options!$D$9*Ramp!$B$9*Inputs!$B$10)+Inputs!$B$6*C$22/12*Inputs!$B$8*Inputs!$B$11++MAX(0,Inputs!$B$6*Scenarios!$B$8/12*((1-Options!$C$9-Options!$D$9*Ramp!$B$9)*Scenarios!$C$8+Options!$C$9*Scenarios!$D$8+Options!$D$9*Ramp!$B$9*Scenarios!$E$8)-Inputs!$B$6*C$22/12)*Scenarios!$F$8*Inputs!$B$8*Scenarios!$G$8</x:f>
        <x:v>818466.1483618125</x:v>
      </x:c>
      <x:c r="D25" s="147" t="n">
        <x:f>Inputs!$B$6*Inputs!$B$8*(Options!$C$9*$A25+Options!$D$9*Ramp!$B$9*Inputs!$B$10)+Inputs!$B$6*D$22/12*Inputs!$B$8*Inputs!$B$11++MAX(0,Inputs!$B$6*Scenarios!$B$8/12*((1-Options!$C$9-Options!$D$9*Ramp!$B$9)*Scenarios!$C$8+Options!$C$9*Scenarios!$D$8+Options!$D$9*Ramp!$B$9*Scenarios!$E$8)-Inputs!$B$6*D$22/12)*Scenarios!$F$8*Inputs!$B$8*Scenarios!$G$8</x:f>
        <x:v>812954.5918071874</x:v>
      </x:c>
      <x:c r="E25" s="147" t="n">
        <x:f>Inputs!$B$6*Inputs!$B$8*(Options!$C$9*$A25+Options!$D$9*Ramp!$B$9*Inputs!$B$10)+Inputs!$B$6*E$22/12*Inputs!$B$8*Inputs!$B$11++MAX(0,Inputs!$B$6*Scenarios!$B$8/12*((1-Options!$C$9-Options!$D$9*Ramp!$B$9)*Scenarios!$C$8+Options!$C$9*Scenarios!$D$8+Options!$D$9*Ramp!$B$9*Scenarios!$E$8)-Inputs!$B$6*E$22/12)*Scenarios!$F$8*Inputs!$B$8*Scenarios!$G$8</x:f>
        <x:v>1033416.8539921874</x:v>
      </x:c>
      <x:c r="F25" s="147" t="n">
        <x:f>Inputs!$B$6*Inputs!$B$8*(Options!$C$9*$A25+Options!$D$9*Ramp!$B$9*Inputs!$B$10)+Inputs!$B$6*F$22/12*Inputs!$B$8*Inputs!$B$11++MAX(0,Inputs!$B$6*Scenarios!$B$8/12*((1-Options!$C$9-Options!$D$9*Ramp!$B$9)*Scenarios!$C$8+Options!$C$9*Scenarios!$D$8+Options!$D$9*Ramp!$B$9*Scenarios!$E$8)-Inputs!$B$6*F$22/12)*Scenarios!$F$8*Inputs!$B$8*Scenarios!$G$8</x:f>
        <x:v>1198763.5506309373</x:v>
      </x:c>
      <x:c r="G25" s="136"/>
      <x:c r="H25" s="136"/>
      <x:c r="I25" s="136"/>
      <x:c r="J25" s="136"/>
    </x:row>
    <x:row r="26" ht="20" customHeight="1">
      <x:c r="A26" s="153" t="n">
        <x:v>0.25</x:v>
      </x:c>
      <x:c r="B26" s="147" t="n">
        <x:f>Inputs!$B$6*Inputs!$B$8*(Options!$C$9*$A26+Options!$D$9*Ramp!$B$9*Inputs!$B$10)+Inputs!$B$6*B$22/12*Inputs!$B$8*Inputs!$B$11++MAX(0,Inputs!$B$6*Scenarios!$B$8/12*((1-Options!$C$9-Options!$D$9*Ramp!$B$9)*Scenarios!$C$8+Options!$C$9*Scenarios!$D$8+Options!$D$9*Ramp!$B$9*Scenarios!$E$8)-Inputs!$B$6*B$22/12)*Scenarios!$F$8*Inputs!$B$8*Scenarios!$G$8</x:f>
        <x:v>1107822.8674796252</x:v>
      </x:c>
      <x:c r="C26" s="147" t="n">
        <x:f>Inputs!$B$6*Inputs!$B$8*(Options!$C$9*$A26+Options!$D$9*Ramp!$B$9*Inputs!$B$10)+Inputs!$B$6*C$22/12*Inputs!$B$8*Inputs!$B$11++MAX(0,Inputs!$B$6*Scenarios!$B$8/12*((1-Options!$C$9-Options!$D$9*Ramp!$B$9)*Scenarios!$C$8+Options!$C$9*Scenarios!$D$8+Options!$D$9*Ramp!$B$9*Scenarios!$E$8)-Inputs!$B$6*C$22/12)*Scenarios!$F$8*Inputs!$B$8*Scenarios!$G$8</x:f>
        <x:v>1066486.1933199377</x:v>
      </x:c>
      <x:c r="D26" s="147" t="n">
        <x:f>Inputs!$B$6*Inputs!$B$8*(Options!$C$9*$A26+Options!$D$9*Ramp!$B$9*Inputs!$B$10)+Inputs!$B$6*D$22/12*Inputs!$B$8*Inputs!$B$11++MAX(0,Inputs!$B$6*Scenarios!$B$8/12*((1-Options!$C$9-Options!$D$9*Ramp!$B$9)*Scenarios!$C$8+Options!$C$9*Scenarios!$D$8+Options!$D$9*Ramp!$B$9*Scenarios!$E$8)-Inputs!$B$6*D$22/12)*Scenarios!$F$8*Inputs!$B$8*Scenarios!$G$8</x:f>
        <x:v>1060974.6367653124</x:v>
      </x:c>
      <x:c r="E26" s="147" t="n">
        <x:f>Inputs!$B$6*Inputs!$B$8*(Options!$C$9*$A26+Options!$D$9*Ramp!$B$9*Inputs!$B$10)+Inputs!$B$6*E$22/12*Inputs!$B$8*Inputs!$B$11++MAX(0,Inputs!$B$6*Scenarios!$B$8/12*((1-Options!$C$9-Options!$D$9*Ramp!$B$9)*Scenarios!$C$8+Options!$C$9*Scenarios!$D$8+Options!$D$9*Ramp!$B$9*Scenarios!$E$8)-Inputs!$B$6*E$22/12)*Scenarios!$F$8*Inputs!$B$8*Scenarios!$G$8</x:f>
        <x:v>1281436.8989503125</x:v>
      </x:c>
      <x:c r="F26" s="147" t="n">
        <x:f>Inputs!$B$6*Inputs!$B$8*(Options!$C$9*$A26+Options!$D$9*Ramp!$B$9*Inputs!$B$10)+Inputs!$B$6*F$22/12*Inputs!$B$8*Inputs!$B$11++MAX(0,Inputs!$B$6*Scenarios!$B$8/12*((1-Options!$C$9-Options!$D$9*Ramp!$B$9)*Scenarios!$C$8+Options!$C$9*Scenarios!$D$8+Options!$D$9*Ramp!$B$9*Scenarios!$E$8)-Inputs!$B$6*F$22/12)*Scenarios!$F$8*Inputs!$B$8*Scenarios!$G$8</x:f>
        <x:v>1446783.5955890627</x:v>
      </x:c>
      <x:c r="G26" s="136"/>
      <x:c r="H26" s="136"/>
      <x:c r="I26" s="136"/>
      <x:c r="J26" s="136"/>
    </x:row>
    <x:row r="27" ht="20" customHeight="1">
      <x:c r="A27" s="153" t="n">
        <x:v>0.4</x:v>
      </x:c>
      <x:c r="B27" s="147" t="n">
        <x:f>Inputs!$B$6*Inputs!$B$8*(Options!$C$9*$A27+Options!$D$9*Ramp!$B$9*Inputs!$B$10)+Inputs!$B$6*B$22/12*Inputs!$B$8*Inputs!$B$11++MAX(0,Inputs!$B$6*Scenarios!$B$8/12*((1-Options!$C$9-Options!$D$9*Ramp!$B$9)*Scenarios!$C$8+Options!$C$9*Scenarios!$D$8+Options!$D$9*Ramp!$B$9*Scenarios!$E$8)-Inputs!$B$6*B$22/12)*Scenarios!$F$8*Inputs!$B$8*Scenarios!$G$8</x:f>
        <x:v>1479852.9349168125</x:v>
      </x:c>
      <x:c r="C27" s="147" t="n">
        <x:f>Inputs!$B$6*Inputs!$B$8*(Options!$C$9*$A27+Options!$D$9*Ramp!$B$9*Inputs!$B$10)+Inputs!$B$6*C$22/12*Inputs!$B$8*Inputs!$B$11++MAX(0,Inputs!$B$6*Scenarios!$B$8/12*((1-Options!$C$9-Options!$D$9*Ramp!$B$9)*Scenarios!$C$8+Options!$C$9*Scenarios!$D$8+Options!$D$9*Ramp!$B$9*Scenarios!$E$8)-Inputs!$B$6*C$22/12)*Scenarios!$F$8*Inputs!$B$8*Scenarios!$G$8</x:f>
        <x:v>1438516.260757125</x:v>
      </x:c>
      <x:c r="D27" s="147" t="n">
        <x:f>Inputs!$B$6*Inputs!$B$8*(Options!$C$9*$A27+Options!$D$9*Ramp!$B$9*Inputs!$B$10)+Inputs!$B$6*D$22/12*Inputs!$B$8*Inputs!$B$11++MAX(0,Inputs!$B$6*Scenarios!$B$8/12*((1-Options!$C$9-Options!$D$9*Ramp!$B$9)*Scenarios!$C$8+Options!$C$9*Scenarios!$D$8+Options!$D$9*Ramp!$B$9*Scenarios!$E$8)-Inputs!$B$6*D$22/12)*Scenarios!$F$8*Inputs!$B$8*Scenarios!$G$8</x:f>
        <x:v>1433004.7042025002</x:v>
      </x:c>
      <x:c r="E27" s="147" t="n">
        <x:f>Inputs!$B$6*Inputs!$B$8*(Options!$C$9*$A27+Options!$D$9*Ramp!$B$9*Inputs!$B$10)+Inputs!$B$6*E$22/12*Inputs!$B$8*Inputs!$B$11++MAX(0,Inputs!$B$6*Scenarios!$B$8/12*((1-Options!$C$9-Options!$D$9*Ramp!$B$9)*Scenarios!$C$8+Options!$C$9*Scenarios!$D$8+Options!$D$9*Ramp!$B$9*Scenarios!$E$8)-Inputs!$B$6*E$22/12)*Scenarios!$F$8*Inputs!$B$8*Scenarios!$G$8</x:f>
        <x:v>1653466.9663875</x:v>
      </x:c>
      <x:c r="F27" s="147" t="n">
        <x:f>Inputs!$B$6*Inputs!$B$8*(Options!$C$9*$A27+Options!$D$9*Ramp!$B$9*Inputs!$B$10)+Inputs!$B$6*F$22/12*Inputs!$B$8*Inputs!$B$11++MAX(0,Inputs!$B$6*Scenarios!$B$8/12*((1-Options!$C$9-Options!$D$9*Ramp!$B$9)*Scenarios!$C$8+Options!$C$9*Scenarios!$D$8+Options!$D$9*Ramp!$B$9*Scenarios!$E$8)-Inputs!$B$6*F$22/12)*Scenarios!$F$8*Inputs!$B$8*Scenarios!$G$8</x:f>
        <x:v>1818813.66302625</x:v>
      </x:c>
      <x:c r="G27" s="136"/>
      <x:c r="H27" s="136"/>
      <x:c r="I27" s="136"/>
      <x:c r="J27" s="136"/>
    </x:row>
    <x:row r="28" ht="20" customHeight="1">
      <x:c r="A28" s="136"/>
      <x:c r="B28" s="136"/>
      <x:c r="C28" s="136"/>
      <x:c r="D28" s="136"/>
      <x:c r="E28" s="136"/>
      <x:c r="F28" s="136"/>
      <x:c r="G28" s="136"/>
      <x:c r="H28" s="136"/>
      <x:c r="I28" s="136"/>
      <x:c r="J28" s="136"/>
    </x:row>
    <x:row r="29" ht="20" customHeight="1">
      <x:c r="A29" s="136"/>
      <x:c r="B29" s="136"/>
      <x:c r="C29" s="136"/>
      <x:c r="D29" s="136"/>
      <x:c r="E29" s="136"/>
      <x:c r="F29" s="136"/>
      <x:c r="G29" s="136"/>
      <x:c r="H29" s="136"/>
      <x:c r="I29" s="136"/>
      <x:c r="J29" s="136"/>
    </x:row>
    <x:row r="30" ht="20" customHeight="1">
      <x:c r="A30" s="136"/>
      <x:c r="B30" s="136"/>
      <x:c r="C30" s="136"/>
      <x:c r="D30" s="136"/>
      <x:c r="E30" s="136"/>
      <x:c r="F30" s="136"/>
      <x:c r="G30" s="136"/>
      <x:c r="H30" s="136"/>
      <x:c r="I30" s="136"/>
      <x:c r="J30" s="136"/>
    </x:row>
    <x:row r="31" ht="20" customHeight="1">
      <x:c r="A31" s="136"/>
      <x:c r="B31" s="136"/>
      <x:c r="C31" s="136"/>
      <x:c r="D31" s="136"/>
      <x:c r="E31" s="136"/>
      <x:c r="F31" s="136"/>
      <x:c r="G31" s="136"/>
      <x:c r="H31" s="136"/>
      <x:c r="I31" s="136"/>
      <x:c r="J31" s="136"/>
    </x:row>
    <x:row r="32" ht="20" customHeight="1">
      <x:c r="A32" s="136"/>
      <x:c r="B32" s="136"/>
      <x:c r="C32" s="136"/>
      <x:c r="D32" s="136"/>
      <x:c r="E32" s="136"/>
      <x:c r="F32" s="136"/>
      <x:c r="G32" s="136"/>
      <x:c r="H32" s="136"/>
      <x:c r="I32" s="136"/>
      <x:c r="J32" s="136"/>
    </x:row>
    <x:row r="33" ht="26" customHeight="1">
      <x:c r="A33" s="140" t="str">
        <x:v>Disruption / Buffer</x:v>
      </x:c>
      <x:c r="B33" s="140" t="str">
        <x:v>0 months</x:v>
      </x:c>
      <x:c r="C33" s="140" t="str">
        <x:v>3 months</x:v>
      </x:c>
      <x:c r="D33" s="140" t="str">
        <x:f>Options!E9&amp;" months"</x:f>
        <x:v>5 months</x:v>
      </x:c>
      <x:c r="E33" s="140" t="str">
        <x:v>9 months</x:v>
      </x:c>
      <x:c r="F33" s="140" t="str">
        <x:v>12 months</x:v>
      </x:c>
      <x:c r="G33" s="140"/>
      <x:c r="H33" s="140"/>
      <x:c r="I33" s="140"/>
      <x:c r="J33" s="140"/>
    </x:row>
    <x:row r="34" ht="20" customHeight="1">
      <x:c r="A34" s="136"/>
      <x:c r="B34" s="149" t="n">
        <x:v>0</x:v>
      </x:c>
      <x:c r="C34" s="149" t="n">
        <x:v>3</x:v>
      </x:c>
      <x:c r="D34" s="149" t="n">
        <x:f>Options!E9</x:f>
        <x:v>5</x:v>
      </x:c>
      <x:c r="E34" s="149" t="n">
        <x:v>9</x:v>
      </x:c>
      <x:c r="F34" s="149" t="n">
        <x:v>12</x:v>
      </x:c>
      <x:c r="G34" s="136"/>
      <x:c r="H34" s="136"/>
      <x:c r="I34" s="136"/>
      <x:c r="J34" s="136"/>
    </x:row>
    <x:row r="35" ht="20" customHeight="1">
      <x:c r="A35" s="149" t="n">
        <x:v>4</x:v>
      </x:c>
      <x:c r="B35" s="183" t="n">
        <x:f>MAX(0,Inputs!$B$6*$A35/12*((1-Options!$C$9-Options!$D$9*Ramp!$B$9)*Scenarios!$C$8+Options!$C$9*Scenarios!$D$8+Options!$D$9*Ramp!$B$9*Scenarios!$E$8)-Inputs!$B$6*B$34/12)*(1-Scenarios!$F$8)</x:f>
        <x:v>17.55</x:v>
      </x:c>
      <x:c r="C35" s="183" t="n">
        <x:f>MAX(0,Inputs!$B$6*$A35/12*((1-Options!$C$9-Options!$D$9*Ramp!$B$9)*Scenarios!$C$8+Options!$C$9*Scenarios!$D$8+Options!$D$9*Ramp!$B$9*Scenarios!$E$8)-Inputs!$B$6*C$34/12)*(1-Scenarios!$F$8)</x:f>
        <x:v>0</x:v>
      </x:c>
      <x:c r="D35" s="183" t="n">
        <x:f>MAX(0,Inputs!$B$6*$A35/12*((1-Options!$C$9-Options!$D$9*Ramp!$B$9)*Scenarios!$C$8+Options!$C$9*Scenarios!$D$8+Options!$D$9*Ramp!$B$9*Scenarios!$E$8)-Inputs!$B$6*D$34/12)*(1-Scenarios!$F$8)</x:f>
        <x:v>0</x:v>
      </x:c>
      <x:c r="E35" s="183" t="n">
        <x:f>MAX(0,Inputs!$B$6*$A35/12*((1-Options!$C$9-Options!$D$9*Ramp!$B$9)*Scenarios!$C$8+Options!$C$9*Scenarios!$D$8+Options!$D$9*Ramp!$B$9*Scenarios!$E$8)-Inputs!$B$6*E$34/12)*(1-Scenarios!$F$8)</x:f>
        <x:v>0</x:v>
      </x:c>
      <x:c r="F35" s="183" t="n">
        <x:f>MAX(0,Inputs!$B$6*$A35/12*((1-Options!$C$9-Options!$D$9*Ramp!$B$9)*Scenarios!$C$8+Options!$C$9*Scenarios!$D$8+Options!$D$9*Ramp!$B$9*Scenarios!$E$8)-Inputs!$B$6*F$34/12)*(1-Scenarios!$F$8)</x:f>
        <x:v>0</x:v>
      </x:c>
      <x:c r="G35" s="136"/>
      <x:c r="H35" s="136"/>
      <x:c r="I35" s="136"/>
      <x:c r="J35" s="136"/>
    </x:row>
    <x:row r="36" ht="20" customHeight="1">
      <x:c r="A36" s="149" t="n">
        <x:v>6</x:v>
      </x:c>
      <x:c r="B36" s="183" t="n">
        <x:f>MAX(0,Inputs!$B$6*$A36/12*((1-Options!$C$9-Options!$D$9*Ramp!$B$9)*Scenarios!$C$8+Options!$C$9*Scenarios!$D$8+Options!$D$9*Ramp!$B$9*Scenarios!$E$8)-Inputs!$B$6*B$34/12)*(1-Scenarios!$F$8)</x:f>
        <x:v>26.325</x:v>
      </x:c>
      <x:c r="C36" s="183" t="n">
        <x:f>MAX(0,Inputs!$B$6*$A36/12*((1-Options!$C$9-Options!$D$9*Ramp!$B$9)*Scenarios!$C$8+Options!$C$9*Scenarios!$D$8+Options!$D$9*Ramp!$B$9*Scenarios!$E$8)-Inputs!$B$6*C$34/12)*(1-Scenarios!$F$8)</x:f>
        <x:v>3.825</x:v>
      </x:c>
      <x:c r="D36" s="183" t="n">
        <x:f>MAX(0,Inputs!$B$6*$A36/12*((1-Options!$C$9-Options!$D$9*Ramp!$B$9)*Scenarios!$C$8+Options!$C$9*Scenarios!$D$8+Options!$D$9*Ramp!$B$9*Scenarios!$E$8)-Inputs!$B$6*D$34/12)*(1-Scenarios!$F$8)</x:f>
        <x:v>0</x:v>
      </x:c>
      <x:c r="E36" s="183" t="n">
        <x:f>MAX(0,Inputs!$B$6*$A36/12*((1-Options!$C$9-Options!$D$9*Ramp!$B$9)*Scenarios!$C$8+Options!$C$9*Scenarios!$D$8+Options!$D$9*Ramp!$B$9*Scenarios!$E$8)-Inputs!$B$6*E$34/12)*(1-Scenarios!$F$8)</x:f>
        <x:v>0</x:v>
      </x:c>
      <x:c r="F36" s="183" t="n">
        <x:f>MAX(0,Inputs!$B$6*$A36/12*((1-Options!$C$9-Options!$D$9*Ramp!$B$9)*Scenarios!$C$8+Options!$C$9*Scenarios!$D$8+Options!$D$9*Ramp!$B$9*Scenarios!$E$8)-Inputs!$B$6*F$34/12)*(1-Scenarios!$F$8)</x:f>
        <x:v>0</x:v>
      </x:c>
      <x:c r="G36" s="136"/>
      <x:c r="H36" s="136"/>
      <x:c r="I36" s="136"/>
      <x:c r="J36" s="136"/>
    </x:row>
    <x:row r="37" ht="20" customHeight="1">
      <x:c r="A37" s="149" t="n">
        <x:v>8</x:v>
      </x:c>
      <x:c r="B37" s="183" t="n">
        <x:f>MAX(0,Inputs!$B$6*$A37/12*((1-Options!$C$9-Options!$D$9*Ramp!$B$9)*Scenarios!$C$8+Options!$C$9*Scenarios!$D$8+Options!$D$9*Ramp!$B$9*Scenarios!$E$8)-Inputs!$B$6*B$34/12)*(1-Scenarios!$F$8)</x:f>
        <x:v>35.1</x:v>
      </x:c>
      <x:c r="C37" s="183" t="n">
        <x:f>MAX(0,Inputs!$B$6*$A37/12*((1-Options!$C$9-Options!$D$9*Ramp!$B$9)*Scenarios!$C$8+Options!$C$9*Scenarios!$D$8+Options!$D$9*Ramp!$B$9*Scenarios!$E$8)-Inputs!$B$6*C$34/12)*(1-Scenarios!$F$8)</x:f>
        <x:v>12.6</x:v>
      </x:c>
      <x:c r="D37" s="183" t="n">
        <x:f>MAX(0,Inputs!$B$6*$A37/12*((1-Options!$C$9-Options!$D$9*Ramp!$B$9)*Scenarios!$C$8+Options!$C$9*Scenarios!$D$8+Options!$D$9*Ramp!$B$9*Scenarios!$E$8)-Inputs!$B$6*D$34/12)*(1-Scenarios!$F$8)</x:f>
        <x:v>0</x:v>
      </x:c>
      <x:c r="E37" s="183" t="n">
        <x:f>MAX(0,Inputs!$B$6*$A37/12*((1-Options!$C$9-Options!$D$9*Ramp!$B$9)*Scenarios!$C$8+Options!$C$9*Scenarios!$D$8+Options!$D$9*Ramp!$B$9*Scenarios!$E$8)-Inputs!$B$6*E$34/12)*(1-Scenarios!$F$8)</x:f>
        <x:v>0</x:v>
      </x:c>
      <x:c r="F37" s="183" t="n">
        <x:f>MAX(0,Inputs!$B$6*$A37/12*((1-Options!$C$9-Options!$D$9*Ramp!$B$9)*Scenarios!$C$8+Options!$C$9*Scenarios!$D$8+Options!$D$9*Ramp!$B$9*Scenarios!$E$8)-Inputs!$B$6*F$34/12)*(1-Scenarios!$F$8)</x:f>
        <x:v>0</x:v>
      </x:c>
      <x:c r="G37" s="136"/>
      <x:c r="H37" s="136"/>
      <x:c r="I37" s="136"/>
      <x:c r="J37" s="136"/>
    </x:row>
    <x:row r="38" ht="20" customHeight="1">
      <x:c r="A38" s="149" t="n">
        <x:v>10</x:v>
      </x:c>
      <x:c r="B38" s="183" t="n">
        <x:f>MAX(0,Inputs!$B$6*$A38/12*((1-Options!$C$9-Options!$D$9*Ramp!$B$9)*Scenarios!$C$8+Options!$C$9*Scenarios!$D$8+Options!$D$9*Ramp!$B$9*Scenarios!$E$8)-Inputs!$B$6*B$34/12)*(1-Scenarios!$F$8)</x:f>
        <x:v>43.87499999999999</x:v>
      </x:c>
      <x:c r="C38" s="183" t="n">
        <x:f>MAX(0,Inputs!$B$6*$A38/12*((1-Options!$C$9-Options!$D$9*Ramp!$B$9)*Scenarios!$C$8+Options!$C$9*Scenarios!$D$8+Options!$D$9*Ramp!$B$9*Scenarios!$E$8)-Inputs!$B$6*C$34/12)*(1-Scenarios!$F$8)</x:f>
        <x:v>21.374999999999993</x:v>
      </x:c>
      <x:c r="D38" s="183" t="n">
        <x:f>MAX(0,Inputs!$B$6*$A38/12*((1-Options!$C$9-Options!$D$9*Ramp!$B$9)*Scenarios!$C$8+Options!$C$9*Scenarios!$D$8+Options!$D$9*Ramp!$B$9*Scenarios!$E$8)-Inputs!$B$6*D$34/12)*(1-Scenarios!$F$8)</x:f>
        <x:v>6.374999999999996</x:v>
      </x:c>
      <x:c r="E38" s="183" t="n">
        <x:f>MAX(0,Inputs!$B$6*$A38/12*((1-Options!$C$9-Options!$D$9*Ramp!$B$9)*Scenarios!$C$8+Options!$C$9*Scenarios!$D$8+Options!$D$9*Ramp!$B$9*Scenarios!$E$8)-Inputs!$B$6*E$34/12)*(1-Scenarios!$F$8)</x:f>
        <x:v>0</x:v>
      </x:c>
      <x:c r="F38" s="183" t="n">
        <x:f>MAX(0,Inputs!$B$6*$A38/12*((1-Options!$C$9-Options!$D$9*Ramp!$B$9)*Scenarios!$C$8+Options!$C$9*Scenarios!$D$8+Options!$D$9*Ramp!$B$9*Scenarios!$E$8)-Inputs!$B$6*F$34/12)*(1-Scenarios!$F$8)</x:f>
        <x:v>0</x:v>
      </x:c>
      <x:c r="G38" s="136"/>
      <x:c r="H38" s="136"/>
      <x:c r="I38" s="136"/>
      <x:c r="J38" s="136"/>
    </x:row>
    <x:row r="39" ht="20" customHeight="1">
      <x:c r="A39" s="149" t="n">
        <x:v>12</x:v>
      </x:c>
      <x:c r="B39" s="183" t="n">
        <x:f>MAX(0,Inputs!$B$6*$A39/12*((1-Options!$C$9-Options!$D$9*Ramp!$B$9)*Scenarios!$C$8+Options!$C$9*Scenarios!$D$8+Options!$D$9*Ramp!$B$9*Scenarios!$E$8)-Inputs!$B$6*B$34/12)*(1-Scenarios!$F$8)</x:f>
        <x:v>52.65</x:v>
      </x:c>
      <x:c r="C39" s="183" t="n">
        <x:f>MAX(0,Inputs!$B$6*$A39/12*((1-Options!$C$9-Options!$D$9*Ramp!$B$9)*Scenarios!$C$8+Options!$C$9*Scenarios!$D$8+Options!$D$9*Ramp!$B$9*Scenarios!$E$8)-Inputs!$B$6*C$34/12)*(1-Scenarios!$F$8)</x:f>
        <x:v>30.150000000000002</x:v>
      </x:c>
      <x:c r="D39" s="183" t="n">
        <x:f>MAX(0,Inputs!$B$6*$A39/12*((1-Options!$C$9-Options!$D$9*Ramp!$B$9)*Scenarios!$C$8+Options!$C$9*Scenarios!$D$8+Options!$D$9*Ramp!$B$9*Scenarios!$E$8)-Inputs!$B$6*D$34/12)*(1-Scenarios!$F$8)</x:f>
        <x:v>15.150000000000002</x:v>
      </x:c>
      <x:c r="E39" s="183" t="n">
        <x:f>MAX(0,Inputs!$B$6*$A39/12*((1-Options!$C$9-Options!$D$9*Ramp!$B$9)*Scenarios!$C$8+Options!$C$9*Scenarios!$D$8+Options!$D$9*Ramp!$B$9*Scenarios!$E$8)-Inputs!$B$6*E$34/12)*(1-Scenarios!$F$8)</x:f>
        <x:v>0</x:v>
      </x:c>
      <x:c r="F39" s="183" t="n">
        <x:f>MAX(0,Inputs!$B$6*$A39/12*((1-Options!$C$9-Options!$D$9*Ramp!$B$9)*Scenarios!$C$8+Options!$C$9*Scenarios!$D$8+Options!$D$9*Ramp!$B$9*Scenarios!$E$8)-Inputs!$B$6*F$34/12)*(1-Scenarios!$F$8)</x:f>
        <x:v>0</x:v>
      </x:c>
      <x:c r="G39" s="136"/>
      <x:c r="H39" s="136"/>
      <x:c r="I39" s="136"/>
      <x:c r="J39" s="136"/>
    </x:row>
    <x:row r="40" ht="20" customHeight="1">
      <x:c r="A40" s="136"/>
      <x:c r="B40" s="136"/>
      <x:c r="C40" s="136"/>
      <x:c r="D40" s="136"/>
      <x:c r="E40" s="136"/>
      <x:c r="F40" s="136"/>
      <x:c r="G40" s="136"/>
      <x:c r="H40" s="136"/>
      <x:c r="I40" s="136"/>
      <x:c r="J40" s="136"/>
    </x:row>
    <x:row r="41" ht="20" customHeight="1">
      <x:c r="A41" s="139" t="str">
        <x:v>The severe event and supplier loss rates are scenarios. Five months covers the 2030 eight-month event in the illustrated sourcing mix; 2027 before domestic deliveries, a correlated alternate-source disruption or 12 months of loss can breach the buyer tolerance. Test supplier origin, processing and contracted lead times.</x:v>
      </x:c>
      <x:c r="B41" s="139"/>
      <x:c r="C41" s="139"/>
      <x:c r="D41" s="139"/>
      <x:c r="E41" s="139"/>
      <x:c r="F41" s="139"/>
      <x:c r="G41" s="139"/>
      <x:c r="H41" s="139"/>
      <x:c r="I41" s="139"/>
      <x:c r="J41" s="139"/>
    </x:row>
    <x:row r="42" ht="20" customHeight="1">
      <x:c r="A42" s="139"/>
      <x:c r="B42" s="139"/>
      <x:c r="C42" s="139"/>
      <x:c r="D42" s="139"/>
      <x:c r="E42" s="139"/>
      <x:c r="F42" s="139"/>
      <x:c r="G42" s="139"/>
      <x:c r="H42" s="139"/>
      <x:c r="I42" s="139"/>
      <x:c r="J42" s="139"/>
    </x:row>
    <x:row r="43" ht="20" customHeight="1">
      <x:c r="A43" s="139"/>
      <x:c r="B43" s="139"/>
      <x:c r="C43" s="139"/>
      <x:c r="D43" s="139"/>
      <x:c r="E43" s="139"/>
      <x:c r="F43" s="139"/>
      <x:c r="G43" s="139"/>
      <x:c r="H43" s="139"/>
      <x:c r="I43" s="139"/>
      <x:c r="J43" s="139"/>
    </x:row>
    <x:row r="44" ht="20" customHeight="1">
      <x:c r="A44" s="136"/>
      <x:c r="B44" s="136"/>
      <x:c r="C44" s="136"/>
      <x:c r="D44" s="136"/>
      <x:c r="E44" s="136"/>
      <x:c r="F44" s="136"/>
      <x:c r="G44" s="136"/>
      <x:c r="H44" s="136"/>
      <x:c r="I44" s="136"/>
      <x:c r="J44" s="136"/>
    </x:row>
  </x:sheetData>
  <x:mergeCells>
    <x:mergeCell ref="A1:J2"/>
    <x:mergeCell ref="A18:J19"/>
    <x:mergeCell ref="A41:J43"/>
  </x:mergeCells>
  <x:pageMargins left="0.7" right="0.7" top="0.75" bottom="0.75" header="0.3" footer="0.3"/>
</x:worksheet>
</file>

<file path=xl/worksheets/sheet12.xml><?xml version="1.0" encoding="utf-8"?>
<x:worksheet xmlns:x="http://schemas.openxmlformats.org/spreadsheetml/2006/main">
  <x:sheetFormatPr defaultRowHeight="15"/>
  <x:cols>
    <x:col min="1" max="1" width="42" hidden="0" customWidth="1"/>
    <x:col min="2" max="2" width="20" hidden="0" customWidth="1"/>
    <x:col min="3" max="3" width="24" hidden="0" customWidth="1"/>
    <x:col min="4" max="4" width="41" hidden="0" customWidth="1"/>
    <x:col min="5" max="5" width="23" hidden="0" customWidth="1"/>
    <x:col min="6" max="6" width="20" hidden="0" customWidth="1"/>
    <x:col min="7" max="7" width="20" hidden="0" customWidth="1"/>
    <x:col min="8" max="8" width="18" hidden="0" customWidth="1"/>
  </x:cols>
  <x:sheetData>
    <x:row r="1" ht="29" customHeight="1">
      <x:c r="A1" s="133" t="str">
        <x:v>MODEL QA  |  FORMULA AND UNIT CHECKS</x:v>
      </x:c>
      <x:c r="B1" s="133"/>
      <x:c r="C1" s="133"/>
      <x:c r="D1" s="133"/>
      <x:c r="E1" s="133"/>
      <x:c r="F1" s="133"/>
      <x:c r="G1" s="133"/>
      <x:c r="H1" s="133"/>
    </x:row>
    <x:row r="2" ht="29" customHeight="1">
      <x:c r="A2" s="133"/>
      <x:c r="B2" s="133"/>
      <x:c r="C2" s="133"/>
      <x:c r="D2" s="133"/>
      <x:c r="E2" s="133"/>
      <x:c r="F2" s="133"/>
      <x:c r="G2" s="133"/>
      <x:c r="H2" s="133"/>
    </x:row>
    <x:row r="3" ht="25" customHeight="1">
      <x:c r="A3" s="135" t="str">
        <x:v>Original integrity checks plus decision and source-availability tests. PASS means formula/assumption checks; buyer procurement remains conditional.</x:v>
      </x:c>
      <x:c r="B3" s="135"/>
      <x:c r="C3" s="135"/>
      <x:c r="D3" s="135"/>
      <x:c r="E3" s="135"/>
      <x:c r="F3" s="135"/>
      <x:c r="G3" s="135"/>
      <x:c r="H3" s="135"/>
    </x:row>
    <x:row r="4" ht="20" customHeight="1">
      <x:c r="A4" s="136"/>
      <x:c r="B4" s="136"/>
      <x:c r="C4" s="136"/>
      <x:c r="D4" s="136"/>
      <x:c r="E4" s="136"/>
      <x:c r="F4" s="136"/>
      <x:c r="G4" s="136"/>
      <x:c r="H4" s="136"/>
    </x:row>
    <x:row r="5" ht="26" customHeight="1">
      <x:c r="A5" s="140" t="str">
        <x:v>Test</x:v>
      </x:c>
      <x:c r="B5" s="140" t="str">
        <x:v>Computed value</x:v>
      </x:c>
      <x:c r="C5" s="140" t="str">
        <x:v>Status</x:v>
      </x:c>
      <x:c r="D5" s="140" t="str">
        <x:v>Required condition</x:v>
      </x:c>
      <x:c r="E5" s="140"/>
      <x:c r="F5" s="140"/>
      <x:c r="G5" s="140"/>
      <x:c r="H5" s="140"/>
    </x:row>
    <x:row r="6" ht="20" customHeight="1">
      <x:c r="A6" s="136" t="str">
        <x:v>Strategy mix: Domestic-led</x:v>
      </x:c>
      <x:c r="B6" s="136" t="n">
        <x:f>Options!F6</x:f>
        <x:v>1</x:v>
      </x:c>
      <x:c r="C6" s="136" t="str">
        <x:f>IF(ABS(B6-1)&lt;0.000001,"PASS","FAIL")</x:f>
        <x:v>PASS</x:v>
      </x:c>
      <x:c r="D6" s="136" t="str">
        <x:v>100% mix</x:v>
      </x:c>
      <x:c r="E6" s="136"/>
      <x:c r="F6" s="136"/>
      <x:c r="G6" s="136"/>
      <x:c r="H6" s="136"/>
    </x:row>
    <x:row r="7" ht="20" customHeight="1">
      <x:c r="A7" s="136" t="str">
        <x:v>Strategy mix: Diversification</x:v>
      </x:c>
      <x:c r="B7" s="136" t="n">
        <x:f>Options!F7</x:f>
        <x:v>1</x:v>
      </x:c>
      <x:c r="C7" s="136" t="str">
        <x:f>IF(ABS(B7-1)&lt;0.000001,"PASS","FAIL")</x:f>
        <x:v>PASS</x:v>
      </x:c>
      <x:c r="D7" s="136" t="str">
        <x:v>100% mix</x:v>
      </x:c>
      <x:c r="E7" s="136"/>
      <x:c r="F7" s="136"/>
      <x:c r="G7" s="136"/>
      <x:c r="H7" s="136"/>
    </x:row>
    <x:row r="8" ht="20" customHeight="1">
      <x:c r="A8" s="136" t="str">
        <x:v>Strategy mix: Inventory</x:v>
      </x:c>
      <x:c r="B8" s="136" t="n">
        <x:f>Options!F8</x:f>
        <x:v>1</x:v>
      </x:c>
      <x:c r="C8" s="136" t="str">
        <x:f>IF(ABS(B8-1)&lt;0.000001,"PASS","FAIL")</x:f>
        <x:v>PASS</x:v>
      </x:c>
      <x:c r="D8" s="136" t="str">
        <x:v>100% mix</x:v>
      </x:c>
      <x:c r="E8" s="136"/>
      <x:c r="F8" s="136"/>
      <x:c r="G8" s="136"/>
      <x:c r="H8" s="136"/>
    </x:row>
    <x:row r="9" ht="20" customHeight="1">
      <x:c r="A9" s="136" t="str">
        <x:v>Strategy mix: Balanced</x:v>
      </x:c>
      <x:c r="B9" s="136" t="n">
        <x:f>Options!F9</x:f>
        <x:v>1</x:v>
      </x:c>
      <x:c r="C9" s="136" t="str">
        <x:f>IF(ABS(B9-1)&lt;0.000001,"PASS","FAIL")</x:f>
        <x:v>PASS</x:v>
      </x:c>
      <x:c r="D9" s="136" t="str">
        <x:v>100% mix</x:v>
      </x:c>
      <x:c r="E9" s="136"/>
      <x:c r="F9" s="136"/>
      <x:c r="G9" s="136"/>
      <x:c r="H9" s="136"/>
    </x:row>
    <x:row r="10" ht="20" customHeight="1">
      <x:c r="A10" s="136" t="str">
        <x:v>Annual demand positive</x:v>
      </x:c>
      <x:c r="B10" s="136" t="n">
        <x:f>Inputs!B6</x:f>
        <x:v>100</x:v>
      </x:c>
      <x:c r="C10" s="136" t="str">
        <x:f>IF(B10&gt;0,"PASS","FAIL")</x:f>
        <x:v>PASS</x:v>
      </x:c>
      <x:c r="D10" s="136" t="str">
        <x:v>Metric ton antimony content &gt;0</x:v>
      </x:c>
      <x:c r="E10" s="136"/>
      <x:c r="F10" s="136"/>
      <x:c r="G10" s="136"/>
      <x:c r="H10" s="136"/>
    </x:row>
    <x:row r="11" ht="20" customHeight="1">
      <x:c r="A11" s="136" t="str">
        <x:v>Domestic ramp within bounds</x:v>
      </x:c>
      <x:c r="B11" s="136" t="n">
        <x:f>MIN(Ramp!B6:B10)</x:f>
        <x:v>0</x:v>
      </x:c>
      <x:c r="C11" s="136" t="str">
        <x:f>IF(AND(B11&gt;=0,MAX(Ramp!B6:B10)&lt;=1),"PASS","FAIL")</x:f>
        <x:v>PASS</x:v>
      </x:c>
      <x:c r="D11" s="136" t="str">
        <x:v>All fractions 0–100%</x:v>
      </x:c>
      <x:c r="E11" s="136"/>
      <x:c r="F11" s="136"/>
      <x:c r="G11" s="136"/>
      <x:c r="H11" s="136"/>
    </x:row>
    <x:row r="12" ht="20" customHeight="1">
      <x:c r="A12" s="136" t="str">
        <x:v>Shock durations ≤ 12 months</x:v>
      </x:c>
      <x:c r="B12" s="136" t="n">
        <x:f>MAX(Scenarios!B6:B8)</x:f>
        <x:v>8</x:v>
      </x:c>
      <x:c r="C12" s="136" t="str">
        <x:f>IF(AND(B12&gt;=0,B12&lt;=12),"PASS","FAIL")</x:f>
        <x:v>PASS</x:v>
      </x:c>
      <x:c r="D12" s="136" t="str">
        <x:v>Single annual disruption 0–12 mo</x:v>
      </x:c>
      <x:c r="E12" s="136"/>
      <x:c r="F12" s="136"/>
      <x:c r="G12" s="136"/>
      <x:c r="H12" s="136"/>
    </x:row>
    <x:row r="13" ht="20" customHeight="1">
      <x:c r="A13" s="136" t="str">
        <x:v>2025 price input matches USGS</x:v>
      </x:c>
      <x:c r="B13" s="136" t="n">
        <x:f>Inputs!B8</x:f>
        <x:v>55115.56554625</x:v>
      </x:c>
      <x:c r="C13" s="136" t="str">
        <x:f>IF(ABS(B13-History!C10*Inputs!B7)&lt;0.01,"PASS","FAIL")</x:f>
        <x:v>PASS</x:v>
      </x:c>
      <x:c r="D13" s="136" t="str">
        <x:v>2025 $/lb × 2204.62262185</x:v>
      </x:c>
      <x:c r="E13" s="136"/>
      <x:c r="F13" s="136"/>
      <x:c r="G13" s="136"/>
      <x:c r="H13" s="136"/>
    </x:row>
    <x:row r="14" ht="20" customHeight="1">
      <x:c r="A14" s="136" t="str">
        <x:v>No negative modeled shortfall</x:v>
      </x:c>
      <x:c r="B14" s="136" t="n">
        <x:f>MIN(Cases!L5:L64)</x:f>
        <x:v>0</x:v>
      </x:c>
      <x:c r="C14" s="136" t="str">
        <x:f>IF(B14&gt;=-0.000001,"PASS","FAIL")</x:f>
        <x:v>PASS</x:v>
      </x:c>
      <x:c r="D14" s="136" t="str">
        <x:v>Floor at 0 tonnes</x:v>
      </x:c>
      <x:c r="E14" s="136"/>
      <x:c r="F14" s="136"/>
      <x:c r="G14" s="136"/>
      <x:c r="H14" s="136"/>
    </x:row>
    <x:row r="15" ht="20" customHeight="1">
      <x:c r="A15" s="136" t="str">
        <x:v>Stock use bounded by holding</x:v>
      </x:c>
      <x:c r="B15" s="136" t="n">
        <x:f>MAX(Cases!J5:J64-Cases!I5:I64)</x:f>
        <x:v>0</x:v>
      </x:c>
      <x:c r="C15" s="136" t="str">
        <x:f>IF(B15&lt;=0.000001,"PASS","FAIL")</x:f>
        <x:v>PASS</x:v>
      </x:c>
      <x:c r="D15" s="136" t="str">
        <x:v>Stock drawn ≤ available stock</x:v>
      </x:c>
      <x:c r="E15" s="136"/>
      <x:c r="F15" s="136"/>
      <x:c r="G15" s="136"/>
      <x:c r="H15" s="136"/>
    </x:row>
    <x:row r="16" ht="20" customHeight="1">
      <x:c r="A16" s="136" t="str">
        <x:v>Unfilled never exceeds demand</x:v>
      </x:c>
      <x:c r="B16" s="136" t="n">
        <x:f>MAX(Cases!L5:L64-Cases!D5:D64)</x:f>
        <x:v>-67.75</x:v>
      </x:c>
      <x:c r="C16" s="136" t="str">
        <x:f>IF(B16&lt;=0.000001,"PASS","FAIL")</x:f>
        <x:v>PASS</x:v>
      </x:c>
      <x:c r="D16" s="136" t="str">
        <x:v>Residual ≤ annual demand</x:v>
      </x:c>
      <x:c r="E16" s="136"/>
      <x:c r="F16" s="136"/>
      <x:c r="G16" s="136"/>
      <x:c r="H16" s="136"/>
    </x:row>
    <x:row r="17" ht="20" customHeight="1">
      <x:c r="A17" s="136" t="str">
        <x:v>Severe/base volume ordering</x:v>
      </x:c>
      <x:c r="B17" s="136" t="n">
        <x:f>Dashboard!B12</x:f>
        <x:v>0</x:v>
      </x:c>
      <x:c r="C17" s="136" t="str">
        <x:f>IF(B17&gt;=0,"PASS","FAIL")</x:f>
        <x:v>PASS</x:v>
      </x:c>
      <x:c r="D17" s="136" t="str">
        <x:v>Residual volume ≥ 0</x:v>
      </x:c>
      <x:c r="E17" s="136"/>
      <x:c r="F17" s="136"/>
      <x:c r="G17" s="136"/>
      <x:c r="H17" s="136"/>
    </x:row>
    <x:row r="18" ht="20" customHeight="1">
      <x:c r="A18" s="136" t="str">
        <x:v>Sensitivity center matches Cases</x:v>
      </x:c>
      <x:c r="B18" s="136" t="n">
        <x:f>Sensitivity!D10</x:f>
        <x:v>0</x:v>
      </x:c>
      <x:c r="C18" s="136" t="str">
        <x:f>IF(ABS(B18-Dashboard!B12)&lt;0.000001,"PASS","FAIL")</x:f>
        <x:v>PASS</x:v>
      </x:c>
      <x:c r="D18" s="136" t="str">
        <x:v>Alt curtailed 45%; buffer matches Options!E9 (5 mo)</x:v>
      </x:c>
      <x:c r="E18" s="136"/>
      <x:c r="F18" s="136"/>
      <x:c r="G18" s="136"/>
      <x:c r="H18" s="136"/>
    </x:row>
    <x:row r="19" ht="20" customHeight="1">
      <x:c r="A19" s="136" t="str">
        <x:v>Sensitivity spend center matches Cases</x:v>
      </x:c>
      <x:c r="B19" s="136" t="n">
        <x:f>Sensitivity!D25</x:f>
        <x:v>812954.5918071874</x:v>
      </x:c>
      <x:c r="C19" s="136" t="str">
        <x:f>IF(ABS(B19-Dashboard!D12)&lt;0.01,"PASS","FAIL")</x:f>
        <x:v>PASS</x:v>
      </x:c>
      <x:c r="D19" s="136" t="str">
        <x:v>Alt premium 15%; buffer matches Options!E9 (5 mo)</x:v>
      </x:c>
      <x:c r="E19" s="136"/>
      <x:c r="F19" s="136"/>
      <x:c r="G19" s="136"/>
      <x:c r="H19" s="136"/>
    </x:row>
    <x:row r="20" ht="20" customHeight="1">
      <x:c r="A20" s="136" t="str">
        <x:v>Inventory working cap positive</x:v>
      </x:c>
      <x:c r="B20" s="136" t="n">
        <x:f>Inputs!B13</x:f>
        <x:v>3000000</x:v>
      </x:c>
      <x:c r="C20" s="136" t="str">
        <x:f>IF(B20&gt;0,"PASS","FAIL")</x:f>
        <x:v>PASS</x:v>
      </x:c>
      <x:c r="D20" s="136" t="str">
        <x:v>Illustrative cap &gt; 0 USD</x:v>
      </x:c>
      <x:c r="E20" s="136"/>
      <x:c r="F20" s="136"/>
      <x:c r="G20" s="136"/>
      <x:c r="H20" s="136"/>
    </x:row>
    <x:row r="21" ht="20" customHeight="1">
      <x:c r="A21" s="136" t="str">
        <x:v>Derived policy gap matches Cases</x:v>
      </x:c>
      <x:c r="B21" s="136" t="n">
        <x:f>'Policy Tests'!H9</x:f>
        <x:v>0</x:v>
      </x:c>
      <x:c r="C21" s="136" t="str">
        <x:f>IF(ABS(B21-Dashboard!B12)&lt;0.00001,"PASS","FAIL")</x:f>
        <x:v>PASS</x:v>
      </x:c>
      <x:c r="D21" s="136" t="str">
        <x:v>2030 balance 5-month residual linked to all annual cases</x:v>
      </x:c>
      <x:c r="E21" s="136"/>
      <x:c r="F21" s="136"/>
      <x:c r="G21" s="136"/>
      <x:c r="H21" s="136"/>
    </x:row>
    <x:row r="22" ht="20" customHeight="1">
      <x:c r="A22" s="136" t="str">
        <x:v>Overall checks</x:v>
      </x:c>
      <x:c r="B22" s="136"/>
      <x:c r="C22" s="174" t="str">
        <x:f>IF(COUNTIF(C6:C21,"FAIL")+COUNTIF(C24:C28,"FAIL")=0,"PASS","FAIL")</x:f>
        <x:v>PASS</x:v>
      </x:c>
      <x:c r="D22" s="136"/>
      <x:c r="E22" s="136"/>
      <x:c r="F22" s="136"/>
      <x:c r="G22" s="136"/>
      <x:c r="H22" s="136"/>
    </x:row>
    <x:row r="23" ht="20" customHeight="1">
      <x:c r="A23" s="136"/>
      <x:c r="B23" s="136"/>
      <x:c r="C23" s="136"/>
      <x:c r="D23" s="136"/>
      <x:c r="E23" s="136"/>
      <x:c r="F23" s="136"/>
      <x:c r="G23" s="136"/>
      <x:c r="H23" s="136"/>
    </x:row>
    <x:row r="24" ht="20" customHeight="1">
      <x:c r="A24" s="136" t="str">
        <x:v>Initial 2027 gap &lt;= buyer tolerance</x:v>
      </x:c>
      <x:c r="B24" s="136" t="n">
        <x:f>'Policy Tests'!H6</x:f>
        <x:v>4.3500000000000085</x:v>
      </x:c>
      <x:c r="C24" s="136" t="str">
        <x:f>IF(B24&lt;=Inputs!B14,"PASS","FAIL")</x:f>
        <x:v>PASS</x:v>
      </x:c>
      <x:c r="D24" s="136" t="str">
        <x:v>Case qualification depends on 2027/29 delivery</x:v>
      </x:c>
      <x:c r="E24" s="136"/>
      <x:c r="F24" s="136"/>
      <x:c r="G24" s="136"/>
      <x:c r="H24" s="136"/>
    </x:row>
    <x:row r="25">
      <x:c r="A25" t="str">
        <x:v>Severe cash cap for current 5-month stock</x:v>
      </x:c>
      <x:c r="B25" t="n">
        <x:f>'Policy Tests'!I9</x:f>
        <x:v>2296481.8977604164</x:v>
      </x:c>
      <x:c r="C25" t="str">
        <x:f>IF(B25&lt;=Inputs!B13,"PASS","FAIL")</x:f>
        <x:v>PASS</x:v>
      </x:c>
      <x:c r="D25" t="str">
        <x:v>Stock purchase limited by hypothetical cash ceiling</x:v>
      </x:c>
    </x:row>
    <x:row r="26">
      <x:c r="A26" t="str">
        <x:v>Source form conversion unit check</x:v>
      </x:c>
      <x:c r="B26" t="n">
        <x:f>Inputs!B7</x:f>
        <x:v>2204.62262185</x:v>
      </x:c>
      <x:c r="C26" t="str">
        <x:f>IF(ABS(B26-2204.62262185)&lt;0.00001,"PASS","FAIL")</x:f>
        <x:v>PASS</x:v>
      </x:c>
      <x:c r="D26" t="str">
        <x:v>Exact pounds per metric ton conversion</x:v>
      </x:c>
    </x:row>
    <x:row r="27">
      <x:c r="A27" t="str">
        <x:v>Stock minimum bound</x:v>
      </x:c>
      <x:c r="B27" t="n">
        <x:f>'Policy Tests'!E9</x:f>
        <x:v>4.013333333333333</x:v>
      </x:c>
      <x:c r="C27" t="str">
        <x:f>IF(AND(B27&gt;=0,B27&lt;=Options!E9),"PASS","FAIL")</x:f>
        <x:v>PASS</x:v>
      </x:c>
      <x:c r="D27" t="str">
        <x:v>Calculated minimum stock under the 2030 severe test</x:v>
      </x:c>
    </x:row>
    <x:row r="28">
      <x:c r="A28" t="str">
        <x:v>No-alternative 2027 reversal is present</x:v>
      </x:c>
      <x:c r="B28" t="n">
        <x:f>'Policy Tests'!H20</x:f>
        <x:v>16.50000000000001</x:v>
      </x:c>
      <x:c r="C28" t="str">
        <x:f>IF(B28&gt;Inputs!B14,"PASS","FAIL")</x:f>
        <x:v>PASS</x:v>
      </x:c>
      <x:c r="D28" t="str">
        <x:v>2027: all volume shifts to incumbent if alternative channel is unqualified</x:v>
      </x:c>
    </x:row>
  </x:sheetData>
  <x:mergeCells>
    <x:mergeCell ref="A1:H2"/>
  </x:mergeCells>
  <x:pageMargins left="0.7" right="0.7" top="0.75" bottom="0.75" header="0.3" footer="0.3"/>
</x:worksheet>
</file>

<file path=xl/worksheets/sheet1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3" hidden="0" customWidth="1"/>
    <x:col min="2" max="2" width="16" hidden="0" customWidth="1"/>
    <x:col min="3" max="3" width="18" hidden="0" customWidth="1"/>
    <x:col min="4" max="4" width="42" hidden="0" customWidth="1"/>
    <x:col min="5" max="5" width="21" hidden="0" customWidth="1"/>
    <x:col min="6" max="6" width="17" hidden="0" customWidth="1"/>
    <x:col min="7" max="7" width="18" hidden="0" customWidth="1"/>
    <x:col min="8" max="8" width="18" hidden="0" customWidth="1"/>
    <x:col min="9" max="9" width="17" hidden="0" customWidth="1"/>
    <x:col min="10" max="10" width="18" hidden="0" customWidth="1"/>
    <x:col min="11" max="11" width="18" hidden="0" customWidth="1"/>
    <x:col min="12" max="12" width="16" hidden="0" customWidth="1"/>
    <x:col min="13" max="13" width="15" hidden="0" customWidth="1"/>
  </x:cols>
  <x:sheetData>
    <x:row r="1" ht="28" customHeight="1">
      <x:c r="A1" s="184" t="str">
        <x:v>DECISION POLICY  |  REQUIRED BUFFER AND REVERSAL TESTS</x:v>
      </x:c>
      <x:c r="B1" s="184"/>
      <x:c r="C1" s="184"/>
      <x:c r="D1" s="184"/>
      <x:c r="E1" s="184"/>
      <x:c r="F1" s="184"/>
      <x:c r="G1" s="184"/>
      <x:c r="H1" s="184"/>
      <x:c r="I1" s="184"/>
      <x:c r="J1" s="184"/>
      <x:c r="K1" s="184"/>
      <x:c r="L1" s="184"/>
      <x:c r="M1" s="184"/>
    </x:row>
    <x:row r="2" ht="28" customHeight="1">
      <x:c r="A2" s="184"/>
      <x:c r="B2" s="184"/>
      <x:c r="C2" s="184"/>
      <x:c r="D2" s="184"/>
      <x:c r="E2" s="184"/>
      <x:c r="F2" s="184"/>
      <x:c r="G2" s="184"/>
      <x:c r="H2" s="184"/>
      <x:c r="I2" s="184"/>
      <x:c r="J2" s="184"/>
      <x:c r="K2" s="184"/>
      <x:c r="L2" s="184"/>
      <x:c r="M2" s="184"/>
    </x:row>
    <x:row r="3" ht="28" customHeight="1">
      <x:c r="A3" s="186" t="str">
        <x:v>Sources: Cases, Options, Scenarios, Ramp, Inputs | Historical market inputs from USGS; policy quantities and severe losses are assumptions</x:v>
      </x:c>
      <x:c r="B3" s="186"/>
      <x:c r="C3" s="186"/>
      <x:c r="D3" s="186"/>
      <x:c r="E3" s="186"/>
      <x:c r="F3" s="186"/>
      <x:c r="G3" s="186"/>
      <x:c r="H3" s="186"/>
      <x:c r="I3" s="186"/>
      <x:c r="J3" s="186"/>
      <x:c r="K3" s="186"/>
      <x:c r="L3" s="186"/>
      <x:c r="M3" s="186"/>
    </x:row>
    <x:row r="4">
      <x:c r="A4" s="187"/>
      <x:c r="B4" s="187"/>
      <x:c r="C4" s="187"/>
      <x:c r="D4" s="187"/>
      <x:c r="E4" s="187"/>
      <x:c r="F4" s="187"/>
      <x:c r="G4" s="187"/>
      <x:c r="H4" s="187"/>
      <x:c r="I4" s="187"/>
      <x:c r="J4" s="187"/>
      <x:c r="K4" s="187"/>
      <x:c r="L4" s="187"/>
      <x:c r="M4" s="187"/>
    </x:row>
    <x:row r="5" ht="36" customHeight="1">
      <x:c r="A5" s="188" t="str">
        <x:v>Year</x:v>
      </x:c>
      <x:c r="B5" s="188" t="str">
        <x:v>Domestic effective share</x:v>
      </x:c>
      <x:c r="C5" s="188" t="str">
        <x:v>Alt share</x:v>
      </x:c>
      <x:c r="D5" s="188" t="str">
        <x:v>Severe gross loss t</x:v>
      </x:c>
      <x:c r="E5" s="188" t="str">
        <x:v>Minimum stock for 5t gap (months)</x:v>
      </x:c>
      <x:c r="F5" s="188" t="str">
        <x:v>Stock for zero gap (months)</x:v>
      </x:c>
      <x:c r="G5" s="188" t="str">
        <x:v>Chosen buffer months</x:v>
      </x:c>
      <x:c r="H5" s="188" t="str">
        <x:v>Residual after chosen buffer t</x:v>
      </x:c>
      <x:c r="I5" s="188" t="str">
        <x:v>Stock cash USD</x:v>
      </x:c>
      <x:c r="J5" s="188" t="str">
        <x:v>Price cap ($/lb)</x:v>
      </x:c>
      <x:c r="K5" s="188" t="str">
        <x:v>Cash headroom USD</x:v>
      </x:c>
      <x:c r="L5" s="188" t="str">
        <x:v>Continuity test</x:v>
      </x:c>
      <x:c r="M5" s="188" t="str">
        <x:v>Cash test</x:v>
      </x:c>
    </x:row>
    <x:row r="6">
      <x:c r="A6" s="187" t="n">
        <x:v>2027</x:v>
      </x:c>
      <x:c r="B6" s="189" t="n">
        <x:f>Cases!E16</x:f>
        <x:v>0</x:v>
      </x:c>
      <x:c r="C6" s="189" t="n">
        <x:f>Cases!F16</x:f>
        <x:v>0.45</x:v>
      </x:c>
      <x:c r="D6" s="190" t="n">
        <x:f>Cases!H16</x:f>
        <x:v>46.50000000000001</x:v>
      </x:c>
      <x:c r="E6" s="190" t="n">
        <x:f>MAX(0,(D6-Inputs!$B$14/(1-Scenarios!$F$8))*12/Inputs!$B$6)</x:f>
        <x:v>4.913333333333334</x:v>
      </x:c>
      <x:c r="F6" s="190" t="n">
        <x:f>D6*12/Inputs!$B$6</x:f>
        <x:v>5.580000000000001</x:v>
      </x:c>
      <x:c r="G6" s="190" t="n">
        <x:f>Options!$E$9</x:f>
        <x:v>5</x:v>
      </x:c>
      <x:c r="H6" s="190" t="n">
        <x:f>Cases!L16</x:f>
        <x:v>4.3500000000000085</x:v>
      </x:c>
      <x:c r="I6" s="191" t="n">
        <x:f>Cases!R16</x:f>
        <x:v>2296481.8977604164</x:v>
      </x:c>
      <x:c r="J6" s="192" t="n">
        <x:f>Inputs!$B$13/(Inputs!$B$6*G6/12)/Inputs!$B$7</x:f>
        <x:v>32.658650639981865</x:v>
      </x:c>
      <x:c r="K6" s="191" t="n">
        <x:f>Inputs!$B$13-I6</x:f>
        <x:v>703518.1022395836</x:v>
      </x:c>
      <x:c r="L6" s="187" t="str">
        <x:f>IF(H6&lt;=Inputs!$B$14,"PASS","FAIL")</x:f>
        <x:v>PASS</x:v>
      </x:c>
      <x:c r="M6" s="187" t="str">
        <x:f>IF(I6&lt;=Inputs!$B$13,"PASS","FAIL")</x:f>
        <x:v>PASS</x:v>
      </x:c>
    </x:row>
    <x:row r="7">
      <x:c r="A7" s="187" t="n">
        <x:v>2028</x:v>
      </x:c>
      <x:c r="B7" s="189" t="n">
        <x:f>Cases!E28</x:f>
        <x:v>0</x:v>
      </x:c>
      <x:c r="C7" s="189" t="n">
        <x:f>Cases!F28</x:f>
        <x:v>0.45</x:v>
      </x:c>
      <x:c r="D7" s="190" t="n">
        <x:f>Cases!H28</x:f>
        <x:v>46.50000000000001</x:v>
      </x:c>
      <x:c r="E7" s="190" t="n">
        <x:f>MAX(0,(D7-Inputs!$B$14/(1-Scenarios!$F$8))*12/Inputs!$B$6)</x:f>
        <x:v>4.913333333333334</x:v>
      </x:c>
      <x:c r="F7" s="190" t="n">
        <x:f>D7*12/Inputs!$B$6</x:f>
        <x:v>5.580000000000001</x:v>
      </x:c>
      <x:c r="G7" s="190" t="n">
        <x:f>Options!$E$9</x:f>
        <x:v>5</x:v>
      </x:c>
      <x:c r="H7" s="190" t="n">
        <x:f>Cases!L28</x:f>
        <x:v>4.3500000000000085</x:v>
      </x:c>
      <x:c r="I7" s="191" t="n">
        <x:f>Cases!R28</x:f>
        <x:v>2296481.8977604164</x:v>
      </x:c>
      <x:c r="J7" s="192" t="n">
        <x:f>Inputs!$B$13/(Inputs!$B$6*G7/12)/Inputs!$B$7</x:f>
        <x:v>32.658650639981865</x:v>
      </x:c>
      <x:c r="K7" s="191" t="n">
        <x:f>Inputs!$B$13-I7</x:f>
        <x:v>703518.1022395836</x:v>
      </x:c>
      <x:c r="L7" s="187" t="str">
        <x:f>IF(H7&lt;=Inputs!$B$14,"PASS","FAIL")</x:f>
        <x:v>PASS</x:v>
      </x:c>
      <x:c r="M7" s="187" t="str">
        <x:f>IF(I7&lt;=Inputs!$B$13,"PASS","FAIL")</x:f>
        <x:v>PASS</x:v>
      </x:c>
    </x:row>
    <x:row r="8">
      <x:c r="A8" s="187" t="n">
        <x:v>2029</x:v>
      </x:c>
      <x:c r="B8" s="189" t="n">
        <x:f>Cases!E40</x:f>
        <x:v>0</x:v>
      </x:c>
      <x:c r="C8" s="189" t="n">
        <x:f>Cases!F40</x:f>
        <x:v>0.45</x:v>
      </x:c>
      <x:c r="D8" s="190" t="n">
        <x:f>Cases!H40</x:f>
        <x:v>46.50000000000001</x:v>
      </x:c>
      <x:c r="E8" s="190" t="n">
        <x:f>MAX(0,(D8-Inputs!$B$14/(1-Scenarios!$F$8))*12/Inputs!$B$6)</x:f>
        <x:v>4.913333333333334</x:v>
      </x:c>
      <x:c r="F8" s="190" t="n">
        <x:f>D8*12/Inputs!$B$6</x:f>
        <x:v>5.580000000000001</x:v>
      </x:c>
      <x:c r="G8" s="190" t="n">
        <x:f>Options!$E$9</x:f>
        <x:v>5</x:v>
      </x:c>
      <x:c r="H8" s="190" t="n">
        <x:f>Cases!L40</x:f>
        <x:v>4.3500000000000085</x:v>
      </x:c>
      <x:c r="I8" s="191" t="n">
        <x:f>Cases!R40</x:f>
        <x:v>2296481.8977604164</x:v>
      </x:c>
      <x:c r="J8" s="192" t="n">
        <x:f>Inputs!$B$13/(Inputs!$B$6*G8/12)/Inputs!$B$7</x:f>
        <x:v>32.658650639981865</x:v>
      </x:c>
      <x:c r="K8" s="191" t="n">
        <x:f>Inputs!$B$13-I8</x:f>
        <x:v>703518.1022395836</x:v>
      </x:c>
      <x:c r="L8" s="187" t="str">
        <x:f>IF(H8&lt;=Inputs!$B$14,"PASS","FAIL")</x:f>
        <x:v>PASS</x:v>
      </x:c>
      <x:c r="M8" s="187" t="str">
        <x:f>IF(I8&lt;=Inputs!$B$13,"PASS","FAIL")</x:f>
        <x:v>PASS</x:v>
      </x:c>
    </x:row>
    <x:row r="9">
      <x:c r="A9" s="198" t="n">
        <x:v>2030</x:v>
      </x:c>
      <x:c r="B9" s="199" t="n">
        <x:f>Cases!E52</x:f>
        <x:v>0.15</x:v>
      </x:c>
      <x:c r="C9" s="199" t="n">
        <x:f>Cases!F52</x:f>
        <x:v>0.45</x:v>
      </x:c>
      <x:c r="D9" s="200" t="n">
        <x:f>Cases!H52</x:f>
        <x:v>39</x:v>
      </x:c>
      <x:c r="E9" s="200" t="n">
        <x:f>MAX(0,(D9-Inputs!$B$14/(1-Scenarios!$F$8))*12/Inputs!$B$6)</x:f>
        <x:v>4.013333333333333</x:v>
      </x:c>
      <x:c r="F9" s="200" t="n">
        <x:f>D9*12/Inputs!$B$6</x:f>
        <x:v>4.68</x:v>
      </x:c>
      <x:c r="G9" s="200" t="n">
        <x:f>Options!$E$9</x:f>
        <x:v>5</x:v>
      </x:c>
      <x:c r="H9" s="200" t="n">
        <x:f>Cases!L52</x:f>
        <x:v>0</x:v>
      </x:c>
      <x:c r="I9" s="201" t="n">
        <x:f>Cases!R52</x:f>
        <x:v>2296481.8977604164</x:v>
      </x:c>
      <x:c r="J9" s="202" t="n">
        <x:f>Inputs!$B$13/(Inputs!$B$6*G9/12)/Inputs!$B$7</x:f>
        <x:v>32.658650639981865</x:v>
      </x:c>
      <x:c r="K9" s="201" t="n">
        <x:f>Inputs!$B$13-I9</x:f>
        <x:v>703518.1022395836</x:v>
      </x:c>
      <x:c r="L9" s="198" t="str">
        <x:f>IF(H9&lt;=Inputs!$B$14,"PASS","FAIL")</x:f>
        <x:v>PASS</x:v>
      </x:c>
      <x:c r="M9" s="198" t="str">
        <x:f>IF(I9&lt;=Inputs!$B$13,"PASS","FAIL")</x:f>
        <x:v>PASS</x:v>
      </x:c>
    </x:row>
    <x:row r="10">
      <x:c r="A10" s="187" t="n">
        <x:v>2031</x:v>
      </x:c>
      <x:c r="B10" s="189" t="n">
        <x:f>Cases!E64</x:f>
        <x:v>0.3</x:v>
      </x:c>
      <x:c r="C10" s="189" t="n">
        <x:f>Cases!F64</x:f>
        <x:v>0.45</x:v>
      </x:c>
      <x:c r="D10" s="190" t="n">
        <x:f>Cases!H64</x:f>
        <x:v>31.5</x:v>
      </x:c>
      <x:c r="E10" s="190" t="n">
        <x:f>MAX(0,(D10-Inputs!$B$14/(1-Scenarios!$F$8))*12/Inputs!$B$6)</x:f>
        <x:v>3.1133333333333333</x:v>
      </x:c>
      <x:c r="F10" s="190" t="n">
        <x:f>D10*12/Inputs!$B$6</x:f>
        <x:v>3.78</x:v>
      </x:c>
      <x:c r="G10" s="190" t="n">
        <x:f>Options!$E$9</x:f>
        <x:v>5</x:v>
      </x:c>
      <x:c r="H10" s="190" t="n">
        <x:f>Cases!L64</x:f>
        <x:v>0</x:v>
      </x:c>
      <x:c r="I10" s="191" t="n">
        <x:f>Cases!R64</x:f>
        <x:v>2296481.8977604164</x:v>
      </x:c>
      <x:c r="J10" s="192" t="n">
        <x:f>Inputs!$B$13/(Inputs!$B$6*G10/12)/Inputs!$B$7</x:f>
        <x:v>32.658650639981865</x:v>
      </x:c>
      <x:c r="K10" s="191" t="n">
        <x:f>Inputs!$B$13-I10</x:f>
        <x:v>703518.1022395836</x:v>
      </x:c>
      <x:c r="L10" s="187" t="str">
        <x:f>IF(H10&lt;=Inputs!$B$14,"PASS","FAIL")</x:f>
        <x:v>PASS</x:v>
      </x:c>
      <x:c r="M10" s="187" t="str">
        <x:f>IF(I10&lt;=Inputs!$B$13,"PASS","FAIL")</x:f>
        <x:v>PASS</x:v>
      </x:c>
    </x:row>
    <x:row r="11">
      <x:c r="A11" s="187"/>
      <x:c r="B11" s="187"/>
      <x:c r="C11" s="187"/>
      <x:c r="D11" s="187"/>
      <x:c r="E11" s="187"/>
      <x:c r="F11" s="187"/>
      <x:c r="G11" s="187"/>
      <x:c r="H11" s="187"/>
      <x:c r="I11" s="187"/>
      <x:c r="J11" s="187"/>
      <x:c r="K11" s="187"/>
      <x:c r="L11" s="187"/>
      <x:c r="M11" s="187"/>
    </x:row>
    <x:row r="12">
      <x:c r="A12" s="187"/>
      <x:c r="B12" s="187"/>
      <x:c r="C12" s="187"/>
      <x:c r="D12" s="187"/>
      <x:c r="E12" s="187"/>
      <x:c r="F12" s="187"/>
      <x:c r="G12" s="187"/>
      <x:c r="H12" s="187"/>
      <x:c r="I12" s="187"/>
      <x:c r="J12" s="187"/>
      <x:c r="K12" s="187"/>
      <x:c r="L12" s="187"/>
      <x:c r="M12" s="187"/>
    </x:row>
    <x:row r="13" ht="38" customHeight="1">
      <x:c r="A13" s="188" t="str">
        <x:v>Test case</x:v>
      </x:c>
      <x:c r="B13" s="188" t="str">
        <x:v>Year</x:v>
      </x:c>
      <x:c r="C13" s="188" t="str">
        <x:v>Domestic ramp fraction</x:v>
      </x:c>
      <x:c r="D13" s="188" t="str">
        <x:v>Alternative interrupted</x:v>
      </x:c>
      <x:c r="E13" s="188" t="str">
        <x:v>Shock months</x:v>
      </x:c>
      <x:c r="F13" s="188" t="str">
        <x:v>Inventory months</x:v>
      </x:c>
      <x:c r="G13" s="188" t="str">
        <x:v>Gross lost t</x:v>
      </x:c>
      <x:c r="H13" s="188" t="str">
        <x:v>Unfilled t</x:v>
      </x:c>
      <x:c r="I13" s="188" t="str">
        <x:v>Shortfall gate</x:v>
      </x:c>
      <x:c r="J13" s="187"/>
      <x:c r="K13" s="187"/>
      <x:c r="L13" s="187"/>
      <x:c r="M13" s="187"/>
    </x:row>
    <x:row r="14">
      <x:c r="A14" s="187" t="str">
        <x:v>Before domestic ramp</x:v>
      </x:c>
      <x:c r="B14" s="187" t="n">
        <x:v>2027</x:v>
      </x:c>
      <x:c r="C14" s="203" t="n">
        <x:f>Ramp!B6</x:f>
        <x:v>0</x:v>
      </x:c>
      <x:c r="D14" s="203" t="n">
        <x:f>Scenarios!D8</x:f>
        <x:v>0.45</x:v>
      </x:c>
      <x:c r="E14" s="187" t="n">
        <x:f>Scenarios!B8</x:f>
        <x:v>8</x:v>
      </x:c>
      <x:c r="F14" s="190" t="n">
        <x:f>Options!$E$9</x:f>
        <x:v>5</x:v>
      </x:c>
      <x:c r="G14" s="190" t="n">
        <x:f>Inputs!$B$6*E14/12*((1-Options!$C$9-Options!$D$9*C14)*Scenarios!$C$8+Options!$C$9*D14+Options!$D$9*C14*Scenarios!$E$8)</x:f>
        <x:v>46.50000000000001</x:v>
      </x:c>
      <x:c r="H14" s="190" t="n">
        <x:f>MAX(0,G14-Inputs!$B$6*F14/12)*(1-Scenarios!$F$8)</x:f>
        <x:v>4.3500000000000085</x:v>
      </x:c>
      <x:c r="I14" s="187" t="str">
        <x:f>IF(H14&lt;=Inputs!$B$14,"PASS","FAIL")</x:f>
        <x:v>PASS</x:v>
      </x:c>
      <x:c r="J14" s="187"/>
      <x:c r="K14" s="187"/>
      <x:c r="L14" s="187"/>
      <x:c r="M14" s="187"/>
    </x:row>
    <x:row r="15">
      <x:c r="A15" s="187" t="str">
        <x:v>2030 qualified ramp</x:v>
      </x:c>
      <x:c r="B15" s="187" t="n">
        <x:v>2030</x:v>
      </x:c>
      <x:c r="C15" s="203" t="n">
        <x:f>Ramp!B9</x:f>
        <x:v>0.5</x:v>
      </x:c>
      <x:c r="D15" s="203" t="n">
        <x:f>Scenarios!D8</x:f>
        <x:v>0.45</x:v>
      </x:c>
      <x:c r="E15" s="187" t="n">
        <x:f>Scenarios!B8</x:f>
        <x:v>8</x:v>
      </x:c>
      <x:c r="F15" s="190" t="n">
        <x:f>Options!$E$9</x:f>
        <x:v>5</x:v>
      </x:c>
      <x:c r="G15" s="190" t="n">
        <x:f>Inputs!$B$6*E15/12*((1-Options!$C$9-Options!$D$9*C15)*Scenarios!$C$8+Options!$C$9*D15+Options!$D$9*C15*Scenarios!$E$8)</x:f>
        <x:v>39</x:v>
      </x:c>
      <x:c r="H15" s="190" t="n">
        <x:f>MAX(0,G15-Inputs!$B$6*F15/12)*(1-Scenarios!$F$8)</x:f>
        <x:v>0</x:v>
      </x:c>
      <x:c r="I15" s="187" t="str">
        <x:f>IF(H15&lt;=Inputs!$B$14,"PASS","FAIL")</x:f>
        <x:v>PASS</x:v>
      </x:c>
      <x:c r="J15" s="187"/>
      <x:c r="K15" s="187"/>
      <x:c r="L15" s="187"/>
      <x:c r="M15" s="187"/>
    </x:row>
    <x:row r="16">
      <x:c r="A16" s="187" t="str">
        <x:v>2030 domestic delay</x:v>
      </x:c>
      <x:c r="B16" s="187" t="n">
        <x:v>2030</x:v>
      </x:c>
      <x:c r="C16" s="203" t="n">
        <x:f>0</x:f>
        <x:v>0</x:v>
      </x:c>
      <x:c r="D16" s="203" t="n">
        <x:f>Scenarios!D8</x:f>
        <x:v>0.45</x:v>
      </x:c>
      <x:c r="E16" s="187" t="n">
        <x:f>Scenarios!B8</x:f>
        <x:v>8</x:v>
      </x:c>
      <x:c r="F16" s="190" t="n">
        <x:f>Options!$E$9</x:f>
        <x:v>5</x:v>
      </x:c>
      <x:c r="G16" s="190" t="n">
        <x:f>Inputs!$B$6*E16/12*((1-Options!$C$9-Options!$D$9*C16)*Scenarios!$C$8+Options!$C$9*D16+Options!$D$9*C16*Scenarios!$E$8)</x:f>
        <x:v>46.50000000000001</x:v>
      </x:c>
      <x:c r="H16" s="190" t="n">
        <x:f>MAX(0,G16-Inputs!$B$6*F16/12)*(1-Scenarios!$F$8)</x:f>
        <x:v>4.3500000000000085</x:v>
      </x:c>
      <x:c r="I16" s="187" t="str">
        <x:f>IF(H16&lt;=Inputs!$B$14,"PASS","FAIL")</x:f>
        <x:v>PASS</x:v>
      </x:c>
      <x:c r="J16" s="187"/>
      <x:c r="K16" s="187"/>
      <x:c r="L16" s="187"/>
      <x:c r="M16" s="187"/>
    </x:row>
    <x:row r="17">
      <x:c r="A17" s="187" t="str">
        <x:v>2030 alternative exposure</x:v>
      </x:c>
      <x:c r="B17" s="187" t="n">
        <x:v>2030</x:v>
      </x:c>
      <x:c r="C17" s="203" t="n">
        <x:f>Ramp!B9</x:f>
        <x:v>0.5</x:v>
      </x:c>
      <x:c r="D17" s="203" t="n">
        <x:f>0.75</x:f>
        <x:v>0.75</x:v>
      </x:c>
      <x:c r="E17" s="187" t="n">
        <x:f>Scenarios!B8</x:f>
        <x:v>8</x:v>
      </x:c>
      <x:c r="F17" s="190" t="n">
        <x:f>Options!$E$9</x:f>
        <x:v>5</x:v>
      </x:c>
      <x:c r="G17" s="190" t="n">
        <x:f>Inputs!$B$6*E17/12*((1-Options!$C$9-Options!$D$9*C17)*Scenarios!$C$8+Options!$C$9*D17+Options!$D$9*C17*Scenarios!$E$8)</x:f>
        <x:v>48</x:v>
      </x:c>
      <x:c r="H17" s="190" t="n">
        <x:f>MAX(0,G17-Inputs!$B$6*F17/12)*(1-Scenarios!$F$8)</x:f>
        <x:v>5.700000000000002</x:v>
      </x:c>
      <x:c r="I17" s="187" t="str">
        <x:f>IF(H17&lt;=Inputs!$B$14,"PASS","FAIL")</x:f>
        <x:v>FAIL</x:v>
      </x:c>
      <x:c r="J17" s="187"/>
      <x:c r="K17" s="187"/>
      <x:c r="L17" s="187"/>
      <x:c r="M17" s="187"/>
    </x:row>
    <x:row r="18">
      <x:c r="A18" s="198" t="str">
        <x:v>2030 correlated delay</x:v>
      </x:c>
      <x:c r="B18" s="198" t="n">
        <x:v>2030</x:v>
      </x:c>
      <x:c r="C18" s="205" t="n">
        <x:f>0</x:f>
        <x:v>0</x:v>
      </x:c>
      <x:c r="D18" s="205" t="n">
        <x:f>0.75</x:f>
        <x:v>0.75</x:v>
      </x:c>
      <x:c r="E18" s="198" t="n">
        <x:f>Scenarios!B8</x:f>
        <x:v>8</x:v>
      </x:c>
      <x:c r="F18" s="200" t="n">
        <x:f>Options!$E$9</x:f>
        <x:v>5</x:v>
      </x:c>
      <x:c r="G18" s="200" t="n">
        <x:f>Inputs!$B$6*E18/12*((1-Options!$C$9-Options!$D$9*C18)*Scenarios!$C$8+Options!$C$9*D18+Options!$D$9*C18*Scenarios!$E$8)</x:f>
        <x:v>55.50000000000001</x:v>
      </x:c>
      <x:c r="H18" s="200" t="n">
        <x:f>MAX(0,G18-Inputs!$B$6*F18/12)*(1-Scenarios!$F$8)</x:f>
        <x:v>12.450000000000008</x:v>
      </x:c>
      <x:c r="I18" s="198" t="str">
        <x:f>IF(H18&lt;=Inputs!$B$14,"PASS","FAIL")</x:f>
        <x:v>FAIL</x:v>
      </x:c>
      <x:c r="J18" s="187"/>
      <x:c r="K18" s="187"/>
      <x:c r="L18" s="187"/>
      <x:c r="M18" s="187"/>
    </x:row>
    <x:row r="19">
      <x:c r="A19" s="187" t="str">
        <x:v>2030 12-month disruption</x:v>
      </x:c>
      <x:c r="B19" s="187" t="n">
        <x:v>2030</x:v>
      </x:c>
      <x:c r="C19" s="203" t="n">
        <x:f>Ramp!B9</x:f>
        <x:v>0.5</x:v>
      </x:c>
      <x:c r="D19" s="203" t="n">
        <x:f>Scenarios!D8</x:f>
        <x:v>0.45</x:v>
      </x:c>
      <x:c r="E19" s="187" t="n">
        <x:f>12</x:f>
        <x:v>12</x:v>
      </x:c>
      <x:c r="F19" s="190" t="n">
        <x:f>Options!$E$9</x:f>
        <x:v>5</x:v>
      </x:c>
      <x:c r="G19" s="190" t="n">
        <x:f>Inputs!$B$6*E19/12*((1-Options!$C$9-Options!$D$9*C19)*Scenarios!$C$8+Options!$C$9*D19+Options!$D$9*C19*Scenarios!$E$8)</x:f>
        <x:v>58.5</x:v>
      </x:c>
      <x:c r="H19" s="190" t="n">
        <x:f>MAX(0,G19-Inputs!$B$6*F19/12)*(1-Scenarios!$F$8)</x:f>
        <x:v>15.150000000000002</x:v>
      </x:c>
      <x:c r="I19" s="187" t="str">
        <x:f>IF(H19&lt;=Inputs!$B$14,"PASS","FAIL")</x:f>
        <x:v>FAIL</x:v>
      </x:c>
      <x:c r="J19" s="187"/>
      <x:c r="K19" s="187"/>
      <x:c r="L19" s="187"/>
      <x:c r="M19" s="187"/>
    </x:row>
    <x:row r="20">
      <x:c r="A20" s="198" t="str">
        <x:v>2027 alternative unqualified</x:v>
      </x:c>
      <x:c r="B20" s="198" t="n">
        <x:v>2027</x:v>
      </x:c>
      <x:c r="C20" s="205" t="n">
        <x:f>0</x:f>
        <x:v>0</x:v>
      </x:c>
      <x:c r="D20" s="207" t="n">
        <x:f>0</x:f>
        <x:v>0</x:v>
      </x:c>
      <x:c r="E20" s="198" t="n">
        <x:f>Scenarios!$B$8</x:f>
        <x:v>8</x:v>
      </x:c>
      <x:c r="F20" s="200" t="n">
        <x:f>Options!$E$9</x:f>
        <x:v>5</x:v>
      </x:c>
      <x:c r="G20" s="200" t="n">
        <x:f>Inputs!$B$6*E20/12*SUM(Options!$B$9:$D$9)*Scenarios!$C$8</x:f>
        <x:v>60.00000000000001</x:v>
      </x:c>
      <x:c r="H20" s="200" t="n">
        <x:f>MAX(0,G20-Inputs!$B$6*F20/12)*(1-Scenarios!$F$8)</x:f>
        <x:v>16.50000000000001</x:v>
      </x:c>
      <x:c r="I20" s="198" t="str">
        <x:f>IF(H20&lt;=Inputs!$B$14,"PASS","FAIL")</x:f>
        <x:v>FAIL</x:v>
      </x:c>
      <x:c r="J20" s="187"/>
      <x:c r="K20" s="187"/>
      <x:c r="L20" s="187"/>
      <x:c r="M20" s="187"/>
    </x:row>
    <x:row r="21">
      <x:c r="A21" s="187"/>
      <x:c r="B21" s="187"/>
      <x:c r="C21" s="187"/>
      <x:c r="D21" s="187"/>
      <x:c r="E21" s="187"/>
      <x:c r="F21" s="187"/>
      <x:c r="G21" s="187"/>
      <x:c r="H21" s="187"/>
      <x:c r="I21" s="187"/>
      <x:c r="J21" s="187"/>
      <x:c r="K21" s="187"/>
      <x:c r="L21" s="187"/>
      <x:c r="M21" s="187"/>
    </x:row>
    <x:row r="22" ht="30" customHeight="1">
      <x:c r="A22" s="208" t="str">
        <x:v>Decision metric</x:v>
      </x:c>
      <x:c r="B22" s="208" t="str">
        <x:v>Formula value</x:v>
      </x:c>
      <x:c r="C22" s="208" t="str">
        <x:v>Units</x:v>
      </x:c>
      <x:c r="D22" s="208" t="str">
        <x:v>Decision significance</x:v>
      </x:c>
      <x:c r="E22" s="208" t="str"/>
      <x:c r="F22" s="208" t="str"/>
      <x:c r="G22" s="208" t="str"/>
      <x:c r="H22" s="208" t="str"/>
      <x:c r="I22" s="187"/>
      <x:c r="J22" s="187"/>
      <x:c r="K22" s="187"/>
      <x:c r="L22" s="187"/>
      <x:c r="M22" s="187"/>
    </x:row>
    <x:row r="23">
      <x:c r="A23" s="187" t="str">
        <x:v>2030 minimum months for residual &lt;= 5t</x:v>
      </x:c>
      <x:c r="B23" s="187" t="n">
        <x:f>E9</x:f>
        <x:v>4.013333333333333</x:v>
      </x:c>
      <x:c r="C23" s="187" t="str">
        <x:v>months</x:v>
      </x:c>
      <x:c r="D23" s="209" t="str">
        <x:v>Threshold implied by severe case, not a purchasing recommendation</x:v>
      </x:c>
      <x:c r="E23" s="187"/>
      <x:c r="F23" s="187"/>
      <x:c r="G23" s="187"/>
      <x:c r="H23" s="187"/>
      <x:c r="I23" s="187"/>
      <x:c r="J23" s="187"/>
      <x:c r="K23" s="187"/>
      <x:c r="L23" s="187"/>
      <x:c r="M23" s="187"/>
    </x:row>
    <x:row r="24">
      <x:c r="A24" s="187" t="str">
        <x:v>2030 minimum months for zero gap</x:v>
      </x:c>
      <x:c r="B24" s="187" t="n">
        <x:f>F9</x:f>
        <x:v>4.68</x:v>
      </x:c>
      <x:c r="C24" s="187" t="str">
        <x:v>months</x:v>
      </x:c>
      <x:c r="D24" s="209" t="str">
        <x:v>Buffer needed to close the 2030 severe supply loss</x:v>
      </x:c>
      <x:c r="E24" s="187"/>
      <x:c r="F24" s="187"/>
      <x:c r="G24" s="187"/>
      <x:c r="H24" s="187"/>
      <x:c r="I24" s="187"/>
      <x:c r="J24" s="187"/>
      <x:c r="K24" s="187"/>
      <x:c r="L24" s="187"/>
      <x:c r="M24" s="187"/>
    </x:row>
    <x:row r="25">
      <x:c r="A25" s="187" t="str">
        <x:v>2030 proposed stock capital</x:v>
      </x:c>
      <x:c r="B25" s="191" t="n">
        <x:f>I9</x:f>
        <x:v>2296481.8977604164</x:v>
      </x:c>
      <x:c r="C25" s="187" t="str">
        <x:v>USD</x:v>
      </x:c>
      <x:c r="D25" s="209" t="str">
        <x:v>Incremental working capital tied up; stock is an asset</x:v>
      </x:c>
      <x:c r="E25" s="187"/>
      <x:c r="F25" s="187"/>
      <x:c r="G25" s="187"/>
      <x:c r="H25" s="187"/>
      <x:c r="I25" s="187"/>
      <x:c r="J25" s="187"/>
      <x:c r="K25" s="187"/>
      <x:c r="L25" s="187"/>
      <x:c r="M25" s="187"/>
    </x:row>
    <x:row r="26">
      <x:c r="A26" s="187" t="str">
        <x:v>2030 capital headroom</x:v>
      </x:c>
      <x:c r="B26" s="191" t="n">
        <x:f>K9</x:f>
        <x:v>703518.1022395836</x:v>
      </x:c>
      <x:c r="C26" s="187" t="str">
        <x:v>USD</x:v>
      </x:c>
      <x:c r="D26" s="209" t="str">
        <x:v>Available margin below illustrative $3m ceiling</x:v>
      </x:c>
      <x:c r="E26" s="187"/>
      <x:c r="F26" s="187"/>
      <x:c r="G26" s="187"/>
      <x:c r="H26" s="187"/>
      <x:c r="I26" s="187"/>
      <x:c r="J26" s="187"/>
      <x:c r="K26" s="187"/>
      <x:c r="L26" s="187"/>
      <x:c r="M26" s="187"/>
    </x:row>
    <x:row r="27">
      <x:c r="A27" s="187" t="str">
        <x:v>2030 severe incremental expense</x:v>
      </x:c>
      <x:c r="B27" s="191" t="n">
        <x:f>Dashboard!D12</x:f>
        <x:v>812954.5918071874</x:v>
      </x:c>
      <x:c r="C27" s="187" t="str">
        <x:v>USD/year scenario</x:v>
      </x:c>
      <x:c r="D27" s="209" t="str">
        <x:v>Sourcing run-rate premium + carry + conditional emergency markup</x:v>
      </x:c>
      <x:c r="E27" s="187"/>
      <x:c r="F27" s="187"/>
      <x:c r="G27" s="187"/>
      <x:c r="H27" s="187"/>
      <x:c r="I27" s="187"/>
      <x:c r="J27" s="187"/>
      <x:c r="K27" s="187"/>
      <x:c r="L27" s="187"/>
      <x:c r="M27" s="187"/>
    </x:row>
    <x:row r="28">
      <x:c r="A28" s="187" t="str">
        <x:v>2027 pre-domestic severe gap</x:v>
      </x:c>
      <x:c r="B28" s="187" t="n">
        <x:f>H6</x:f>
        <x:v>4.3500000000000085</x:v>
      </x:c>
      <x:c r="C28" s="187" t="str">
        <x:v>t Sb</x:v>
      </x:c>
      <x:c r="D28" s="209" t="str">
        <x:v>Near-term continuity exposure before any domestic qualifying output</x:v>
      </x:c>
      <x:c r="E28" s="187"/>
      <x:c r="F28" s="187"/>
      <x:c r="G28" s="187"/>
      <x:c r="H28" s="187"/>
      <x:c r="I28" s="187"/>
      <x:c r="J28" s="187"/>
      <x:c r="K28" s="187"/>
      <x:c r="L28" s="187"/>
      <x:c r="M28" s="187"/>
    </x:row>
    <x:row r="29">
      <x:c r="A29" s="187" t="str">
        <x:v>2030 12-month severe gap</x:v>
      </x:c>
      <x:c r="B29" s="187" t="n">
        <x:f>H19</x:f>
        <x:v>15.150000000000002</x:v>
      </x:c>
      <x:c r="C29" s="187" t="str">
        <x:v>t Sb</x:v>
      </x:c>
      <x:c r="D29" s="209" t="str">
        <x:v>Prolonged interruption reversal trigger</x:v>
      </x:c>
      <x:c r="E29" s="187"/>
      <x:c r="F29" s="187"/>
      <x:c r="G29" s="187"/>
      <x:c r="H29" s="187"/>
      <x:c r="I29" s="187"/>
      <x:c r="J29" s="187"/>
      <x:c r="K29" s="187"/>
      <x:c r="L29" s="187"/>
      <x:c r="M29" s="187"/>
    </x:row>
    <x:row r="30">
      <x:c r="A30" s="187" t="str">
        <x:v>Buyer-price cap break-even</x:v>
      </x:c>
      <x:c r="B30" s="192" t="n">
        <x:f>J9</x:f>
        <x:v>32.658650639981865</x:v>
      </x:c>
      <x:c r="C30" s="187" t="str">
        <x:v>US$/lb metal proxy</x:v>
      </x:c>
      <x:c r="D30" s="209" t="str">
        <x:v>Premium commodity price proxy at which cash cap binds</x:v>
      </x:c>
      <x:c r="E30" s="187"/>
      <x:c r="F30" s="187"/>
      <x:c r="G30" s="187"/>
      <x:c r="H30" s="187"/>
      <x:c r="I30" s="187"/>
      <x:c r="J30" s="187"/>
      <x:c r="K30" s="187"/>
      <x:c r="L30" s="187"/>
      <x:c r="M30" s="187"/>
    </x:row>
    <x:row r="31">
      <x:c r="A31" s="187" t="str">
        <x:v>Price headroom to cash cap</x:v>
      </x:c>
      <x:c r="B31" s="189" t="n">
        <x:f>J9/History!C10-1</x:f>
        <x:v>0.3063460255992745</x:v>
      </x:c>
      <x:c r="C31" s="187" t="str">
        <x:v>fraction</x:v>
      </x:c>
      <x:c r="D31" s="209" t="str">
        <x:v>Price sensitivity before stock capital exceeds ceiling</x:v>
      </x:c>
      <x:c r="E31" s="187"/>
      <x:c r="F31" s="187"/>
      <x:c r="G31" s="187"/>
      <x:c r="H31" s="187"/>
      <x:c r="I31" s="187"/>
      <x:c r="J31" s="187"/>
      <x:c r="K31" s="187"/>
      <x:c r="L31" s="187"/>
      <x:c r="M31" s="187"/>
    </x:row>
    <x:row r="32">
      <x:c r="A32" s="187"/>
      <x:c r="B32" s="187"/>
      <x:c r="C32" s="187"/>
      <x:c r="D32" s="187"/>
      <x:c r="E32" s="187"/>
      <x:c r="F32" s="187"/>
      <x:c r="G32" s="187"/>
      <x:c r="H32" s="187"/>
      <x:c r="I32" s="187"/>
      <x:c r="J32" s="187"/>
      <x:c r="K32" s="187"/>
      <x:c r="L32" s="187"/>
      <x:c r="M32" s="187"/>
    </x:row>
    <x:row r="33" ht="24" customHeight="1">
      <x:c r="A33" s="211" t="str">
        <x:v>DECISION RULE  |  Five months requires a qualified alternative import lane. An absent second supplier leaves all 2027 volume on the incumbent channel and breaches the shortfall threshold. Procurement validates independently traceable feedstock, refinery, end-user eligibility and lead times; Engineering qualifies grade and shelf life; Finance approves cash. Preserve a sixth-month purchase option for extended or correlated risk.</x:v>
      </x:c>
      <x:c r="B33" s="211"/>
      <x:c r="C33" s="211"/>
      <x:c r="D33" s="211"/>
      <x:c r="E33" s="211"/>
      <x:c r="F33" s="211"/>
      <x:c r="G33" s="211"/>
      <x:c r="H33" s="211"/>
      <x:c r="I33" s="211"/>
      <x:c r="J33" s="211"/>
      <x:c r="K33" s="211"/>
      <x:c r="L33" s="211"/>
      <x:c r="M33" s="211"/>
    </x:row>
    <x:row r="34" ht="24" customHeight="1">
      <x:c r="A34" s="211"/>
      <x:c r="B34" s="211"/>
      <x:c r="C34" s="211"/>
      <x:c r="D34" s="211"/>
      <x:c r="E34" s="211"/>
      <x:c r="F34" s="211"/>
      <x:c r="G34" s="211"/>
      <x:c r="H34" s="211"/>
      <x:c r="I34" s="211"/>
      <x:c r="J34" s="211"/>
      <x:c r="K34" s="211"/>
      <x:c r="L34" s="211"/>
      <x:c r="M34" s="211"/>
    </x:row>
    <x:row r="35" ht="24" customHeight="1">
      <x:c r="A35" s="211"/>
      <x:c r="B35" s="211"/>
      <x:c r="C35" s="211"/>
      <x:c r="D35" s="211"/>
      <x:c r="E35" s="211"/>
      <x:c r="F35" s="211"/>
      <x:c r="G35" s="211"/>
      <x:c r="H35" s="211"/>
      <x:c r="I35" s="211"/>
      <x:c r="J35" s="211"/>
      <x:c r="K35" s="211"/>
      <x:c r="L35" s="211"/>
      <x:c r="M35" s="211"/>
    </x:row>
    <x:row r="36">
      <x:c r="A36" s="187"/>
      <x:c r="B36" s="187"/>
      <x:c r="C36" s="187"/>
      <x:c r="D36" s="187"/>
      <x:c r="E36" s="187"/>
      <x:c r="F36" s="187"/>
      <x:c r="G36" s="187"/>
      <x:c r="H36" s="187"/>
      <x:c r="I36" s="187"/>
      <x:c r="J36" s="187"/>
      <x:c r="K36" s="187"/>
      <x:c r="L36" s="187"/>
      <x:c r="M36" s="187"/>
    </x:row>
    <x:row r="37">
      <x:c r="A37" s="187"/>
      <x:c r="B37" s="187"/>
      <x:c r="C37" s="187"/>
      <x:c r="D37" s="187"/>
      <x:c r="E37" s="187"/>
      <x:c r="F37" s="187"/>
      <x:c r="G37" s="187"/>
      <x:c r="H37" s="187"/>
      <x:c r="I37" s="187"/>
      <x:c r="J37" s="187"/>
      <x:c r="K37" s="187"/>
      <x:c r="L37" s="187"/>
      <x:c r="M37" s="187"/>
    </x:row>
  </x:sheetData>
  <x:mergeCells>
    <x:mergeCell ref="A1:M2"/>
    <x:mergeCell ref="A33:M35"/>
  </x:mergeCells>
  <x:pageMargins left="0.7" right="0.7" top="0.75" bottom="0.75" header="0.3" footer="0.3"/>
</x:worksheet>
</file>